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Belgelerim\Visual Studio 2017\Projects\Quantum Erp\Quantum Erp\bin\Debug\ExcelReportEngine\Siparis Formlari\"/>
    </mc:Choice>
  </mc:AlternateContent>
  <xr:revisionPtr revIDLastSave="0" documentId="13_ncr:1_{74CE1D5E-9964-4868-8C03-5FBB0DE91AA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ÖZELLİKLER" sheetId="10" r:id="rId1"/>
    <sheet name="VADELİ" sheetId="1" r:id="rId2"/>
  </sheets>
  <definedNames>
    <definedName name="_xlnm.Print_Area" localSheetId="1">VADELİ!$A$1:$K$86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1" l="1"/>
  <c r="J13" i="1"/>
  <c r="J40" i="1" l="1"/>
  <c r="M16" i="1" l="1"/>
  <c r="J16" i="1" s="1"/>
  <c r="M17" i="1"/>
  <c r="J17" i="1" s="1"/>
  <c r="H35" i="1" l="1"/>
  <c r="H36" i="1" s="1"/>
  <c r="N36" i="1" l="1"/>
  <c r="K36" i="1"/>
  <c r="M27" i="1"/>
  <c r="M26" i="1"/>
  <c r="H24" i="1" l="1"/>
  <c r="M13" i="1" l="1"/>
  <c r="J26" i="1" l="1"/>
  <c r="M23" i="1" l="1"/>
  <c r="N63" i="1" l="1"/>
  <c r="K63" i="1"/>
  <c r="J23" i="1" l="1"/>
  <c r="J22" i="1"/>
  <c r="J27" i="1"/>
  <c r="H46" i="1" l="1"/>
  <c r="H53" i="1" l="1"/>
  <c r="H51" i="1"/>
  <c r="H49" i="1"/>
  <c r="H34" i="1"/>
  <c r="H17" i="1"/>
  <c r="H16" i="1"/>
  <c r="H29" i="1"/>
  <c r="H28" i="1"/>
  <c r="K28" i="1" s="1"/>
  <c r="K8" i="1"/>
  <c r="I10" i="1"/>
  <c r="I9" i="1"/>
  <c r="I8" i="1"/>
  <c r="I7" i="1"/>
  <c r="G10" i="1"/>
  <c r="G9" i="1"/>
  <c r="G8" i="1"/>
  <c r="G7" i="1"/>
  <c r="G6" i="1"/>
  <c r="C10" i="1"/>
  <c r="C9" i="1"/>
  <c r="C8" i="1"/>
  <c r="C7" i="1"/>
  <c r="C6" i="1"/>
  <c r="C8" i="10"/>
  <c r="H32" i="1" l="1"/>
  <c r="K6" i="1"/>
  <c r="H33" i="1" l="1"/>
  <c r="J25" i="1" l="1"/>
  <c r="N43" i="1" l="1"/>
  <c r="K43" i="1"/>
  <c r="N47" i="1" l="1"/>
  <c r="N48" i="1"/>
  <c r="N45" i="1"/>
  <c r="K45" i="1"/>
  <c r="N42" i="1"/>
  <c r="K42" i="1"/>
  <c r="N41" i="1"/>
  <c r="K41" i="1"/>
  <c r="K48" i="1" l="1"/>
  <c r="K47" i="1"/>
  <c r="N61" i="1" l="1"/>
  <c r="K61" i="1"/>
  <c r="N56" i="1" l="1"/>
  <c r="N62" i="1"/>
  <c r="K62" i="1" l="1"/>
  <c r="K56" i="1"/>
  <c r="N21" i="1" l="1"/>
  <c r="K21" i="1"/>
  <c r="N58" i="1"/>
  <c r="K58" i="1"/>
  <c r="N57" i="1"/>
  <c r="K57" i="1"/>
  <c r="N20" i="1" l="1"/>
  <c r="N23" i="1"/>
  <c r="N52" i="1"/>
  <c r="N50" i="1"/>
  <c r="N14" i="1"/>
  <c r="N15" i="1"/>
  <c r="N60" i="1"/>
  <c r="N54" i="1"/>
  <c r="N55" i="1"/>
  <c r="N59" i="1"/>
  <c r="K55" i="1"/>
  <c r="N16" i="1" l="1"/>
  <c r="N53" i="1" l="1"/>
  <c r="N24" i="1"/>
  <c r="N35" i="1"/>
  <c r="N34" i="1"/>
  <c r="N17" i="1" l="1"/>
  <c r="N51" i="1" l="1"/>
  <c r="N49" i="1"/>
  <c r="N46" i="1"/>
  <c r="K46" i="1" l="1"/>
  <c r="H30" i="1"/>
  <c r="N29" i="1" l="1"/>
  <c r="H31" i="1"/>
  <c r="N30" i="1"/>
  <c r="N28" i="1"/>
  <c r="H13" i="1" l="1"/>
  <c r="K13" i="1" l="1"/>
  <c r="N13" i="1"/>
  <c r="H44" i="1"/>
  <c r="K60" i="1"/>
  <c r="N33" i="1" l="1"/>
  <c r="K44" i="1"/>
  <c r="N44" i="1"/>
  <c r="H39" i="1"/>
  <c r="N32" i="1"/>
  <c r="H18" i="1"/>
  <c r="K24" i="1"/>
  <c r="K51" i="1"/>
  <c r="K49" i="1"/>
  <c r="K35" i="1"/>
  <c r="K34" i="1"/>
  <c r="K33" i="1"/>
  <c r="K32" i="1"/>
  <c r="K17" i="1"/>
  <c r="K16" i="1"/>
  <c r="K53" i="1"/>
  <c r="K54" i="1"/>
  <c r="K59" i="1"/>
  <c r="H37" i="1"/>
  <c r="H22" i="1"/>
  <c r="H40" i="1"/>
  <c r="H25" i="1"/>
  <c r="H27" i="1"/>
  <c r="H26" i="1"/>
  <c r="K20" i="1"/>
  <c r="K23" i="1"/>
  <c r="K52" i="1"/>
  <c r="K50" i="1"/>
  <c r="K14" i="1"/>
  <c r="K15" i="1"/>
  <c r="N18" i="1" l="1"/>
  <c r="N39" i="1"/>
  <c r="K39" i="1"/>
  <c r="K37" i="1"/>
  <c r="N37" i="1"/>
  <c r="K25" i="1"/>
  <c r="N25" i="1"/>
  <c r="K40" i="1"/>
  <c r="N40" i="1"/>
  <c r="K26" i="1"/>
  <c r="N26" i="1"/>
  <c r="K31" i="1"/>
  <c r="N31" i="1"/>
  <c r="K27" i="1"/>
  <c r="N27" i="1"/>
  <c r="K22" i="1"/>
  <c r="N22" i="1"/>
  <c r="K18" i="1"/>
  <c r="H19" i="1"/>
  <c r="K30" i="1"/>
  <c r="K29" i="1"/>
  <c r="H38" i="1"/>
  <c r="K38" i="1" l="1"/>
  <c r="N38" i="1"/>
  <c r="K19" i="1"/>
  <c r="N19" i="1"/>
  <c r="K65" i="1" l="1"/>
  <c r="N64" i="1"/>
  <c r="K67" i="1" l="1"/>
  <c r="K73" i="1" s="1"/>
  <c r="K68" i="1" l="1"/>
  <c r="K69" i="1" s="1"/>
  <c r="M66" i="1"/>
  <c r="K74" i="1" l="1"/>
  <c r="K75" i="1" s="1"/>
</calcChain>
</file>

<file path=xl/sharedStrings.xml><?xml version="1.0" encoding="utf-8"?>
<sst xmlns="http://schemas.openxmlformats.org/spreadsheetml/2006/main" count="272" uniqueCount="143">
  <si>
    <t>FİRMA</t>
  </si>
  <si>
    <t>YETKİLİ</t>
  </si>
  <si>
    <t>DÜZENLEYEN</t>
  </si>
  <si>
    <t>ÖDEME ŞEKLİ</t>
  </si>
  <si>
    <t>TESLİM TARİHİ</t>
  </si>
  <si>
    <t>DURAK SAYISI</t>
  </si>
  <si>
    <t>KAT ARASI</t>
  </si>
  <si>
    <t>FORM NO</t>
  </si>
  <si>
    <t>BEYAN HIZI</t>
  </si>
  <si>
    <t>ASKI TİPİ</t>
  </si>
  <si>
    <t>KANAL SAYISI</t>
  </si>
  <si>
    <t>NO</t>
  </si>
  <si>
    <t>MARKA</t>
  </si>
  <si>
    <t>ÜRÜN TANIMI</t>
  </si>
  <si>
    <t>MİKTAR</t>
  </si>
  <si>
    <t>BİRİM</t>
  </si>
  <si>
    <t>TOPLAM FİYAT</t>
  </si>
  <si>
    <t>BİRİM FİYAT</t>
  </si>
  <si>
    <t>50 LİK FLANŞ VİDA TAKIMI</t>
  </si>
  <si>
    <t>DİGİTAL KABLO DT 13</t>
  </si>
  <si>
    <t>PLASTİK DUBEL + AĞAÇ VİDASI</t>
  </si>
  <si>
    <t>40*40 KABLO KANALI</t>
  </si>
  <si>
    <t>İZOLA BANT</t>
  </si>
  <si>
    <t>KAPASİTE</t>
  </si>
  <si>
    <t>3 - 4 HAFTA</t>
  </si>
  <si>
    <t>TARİH</t>
  </si>
  <si>
    <t>1-</t>
  </si>
  <si>
    <t>2-</t>
  </si>
  <si>
    <t>3-</t>
  </si>
  <si>
    <t>4-</t>
  </si>
  <si>
    <t>5-</t>
  </si>
  <si>
    <t>6-</t>
  </si>
  <si>
    <t>Satılan ürün geri alınmaz.</t>
  </si>
  <si>
    <t>Siparişi verilen ürünler dışında alıcı ilave sipariş ister ise yeni şartlara göre anlaşmaya gidilir.</t>
  </si>
  <si>
    <t>Nakliye sırasında oluşacak zarar ve ziyanlardan firmamız sorumlu değildir.</t>
  </si>
  <si>
    <t>Bu anlaşma adı geçen iki firma arasında imzalanmıştır. Anlaşmazlık halinde KONYA mahkemeleri yetkilidir.</t>
  </si>
  <si>
    <t>Müşteri bu teklif / sipariş formunu imzalamakla yukarıdaki şartları kabul ve teyid etmiş olur.</t>
  </si>
  <si>
    <t>KAPI YÖNÜ</t>
  </si>
  <si>
    <t xml:space="preserve">TEKNİK ÖZELLİK </t>
  </si>
  <si>
    <t>:</t>
  </si>
  <si>
    <t>Kab.Özgül Ağırlık</t>
  </si>
  <si>
    <t>TAM OTOMATİK ASANSÖR MALZEME TEKLİFİ</t>
  </si>
  <si>
    <t>MAKARALI SWİCH</t>
  </si>
  <si>
    <t xml:space="preserve">YAĞDANLIK </t>
  </si>
  <si>
    <t xml:space="preserve">YAĞ TOPLAMA KABI </t>
  </si>
  <si>
    <t>4 LÜK NYAF KABLO</t>
  </si>
  <si>
    <t>ÇELİKRAY</t>
  </si>
  <si>
    <t>AKFALİFT</t>
  </si>
  <si>
    <t>TELESKOPİK</t>
  </si>
  <si>
    <t>TAMPON ALTI PROFİL SETİ AYARLI</t>
  </si>
  <si>
    <t xml:space="preserve">REFERANS </t>
  </si>
  <si>
    <t>REFERANS</t>
  </si>
  <si>
    <t>AKFALİFT ASANSÖR SANAYİ VE TİCARET LTD.ŞTİ.</t>
  </si>
  <si>
    <t>HALAT ŞAPKASI</t>
  </si>
  <si>
    <t>ÇELİK DUBEL M12*90 ( BORULU )</t>
  </si>
  <si>
    <t>18 LİK  SPİRAL BORU</t>
  </si>
  <si>
    <t xml:space="preserve">AĞIRLIK ŞAŞESİ RA: ….. </t>
  </si>
  <si>
    <t xml:space="preserve">KONSOL CİVATASI </t>
  </si>
  <si>
    <t xml:space="preserve">AYARLI KONSOL  (6*6 - 6*8 ) 5 mm BOYALI ÇİFT YARGILI </t>
  </si>
  <si>
    <t>KAT KASETİ TRUVA MOD. YARI TESİSAT BUZZERLİ</t>
  </si>
  <si>
    <t xml:space="preserve">MANTAR STOP KUTULU  </t>
  </si>
  <si>
    <t>KESİCİ BAYRAK SAÇI</t>
  </si>
  <si>
    <t>90 LİK FLANŞ VİDA TAKIMI</t>
  </si>
  <si>
    <t xml:space="preserve">ARKADAN AĞIRLIK KONSOL TAKIMI </t>
  </si>
  <si>
    <r>
      <t xml:space="preserve">10 mm 8*19 SEALE TİP KENDİR ÖZLÜ HALAT </t>
    </r>
    <r>
      <rPr>
        <sz val="9"/>
        <color rgb="FFFF0000"/>
        <rFont val="Calibri"/>
        <family val="2"/>
        <charset val="162"/>
        <scheme val="minor"/>
      </rPr>
      <t xml:space="preserve">  </t>
    </r>
  </si>
  <si>
    <t xml:space="preserve">FLEKSEBIL TAKOZU </t>
  </si>
  <si>
    <t>ANAKART HABERLEŞME SİSTEMİ</t>
  </si>
  <si>
    <t>1:1 ASKI</t>
  </si>
  <si>
    <t xml:space="preserve">YÖNETMELİK </t>
  </si>
  <si>
    <t>EN 81.20</t>
  </si>
  <si>
    <t>Siparişden vazgeçilmesi durumunda Firmamızın tüm zarar ve giderleri alıcı firmaya fatura edilir.</t>
  </si>
  <si>
    <t>ARA TOPLAM :</t>
  </si>
  <si>
    <t>GENEL TOPLAM :</t>
  </si>
  <si>
    <t>KDV  %18 :</t>
  </si>
  <si>
    <t>İSKONTO :</t>
  </si>
  <si>
    <t>TOPLAM :</t>
  </si>
  <si>
    <t>BUT  KON</t>
  </si>
  <si>
    <t>A  K   I  Ş</t>
  </si>
  <si>
    <t>İZMİT AŞ</t>
  </si>
  <si>
    <t xml:space="preserve">50*50*5   mm   AĞIRLIK RAYI    A-TİPİ  </t>
  </si>
  <si>
    <t xml:space="preserve">89*62*16 mm   KABİN RAYI       A-TİPİ  </t>
  </si>
  <si>
    <t>90 LIK RAY BAĞLANTI FLANŞI</t>
  </si>
  <si>
    <t>50 LIK RAY BAĞLANTI FLANŞI</t>
  </si>
  <si>
    <t>TAKIM</t>
  </si>
  <si>
    <t>A D ET</t>
  </si>
  <si>
    <t>METRE</t>
  </si>
  <si>
    <t>KUYU DİBİ REVİZYONU    ( PANOYA DAHİL )</t>
  </si>
  <si>
    <t>MÜŞTERİ ONAYI :</t>
  </si>
  <si>
    <t>SAYGILARIMIZLA</t>
  </si>
  <si>
    <t>Büsan Özel Org.Sanayi Fevzi Çakmak Mah.Özlem Cad. No: 38/1   Karatay / KONYA</t>
  </si>
  <si>
    <t>Fax : +90 332 400 00 10</t>
  </si>
  <si>
    <t xml:space="preserve"> IBAN  : TR83 0020 5000 0944 2707 5000 01</t>
  </si>
  <si>
    <t>KUVEYT TÜRK KATILIM BANK A.Ş.</t>
  </si>
  <si>
    <t xml:space="preserve">TÜRKİYE İŞ BANKASI  </t>
  </si>
  <si>
    <t>QNB FİNANSBANK A.Ş.</t>
  </si>
  <si>
    <t xml:space="preserve"> IBAN  : TR02 0006 4000 0014 5340 0472 21</t>
  </si>
  <si>
    <t xml:space="preserve"> IBAN  : TR34 0011 1000 0000 0070 3435 20</t>
  </si>
  <si>
    <t xml:space="preserve">Tel :   </t>
  </si>
  <si>
    <t>0332 400 00 09</t>
  </si>
  <si>
    <t>0332 342 14 20</t>
  </si>
  <si>
    <t>e-mail :</t>
  </si>
  <si>
    <t>info@akfalift.com</t>
  </si>
  <si>
    <t>web :</t>
  </si>
  <si>
    <t>www.akfaliftasansor.com</t>
  </si>
  <si>
    <t>ŞARTLAR :</t>
  </si>
  <si>
    <t>YÖNETMELİK</t>
  </si>
  <si>
    <t>8 DR KA KADAR FİYATI SABİTLEDİK</t>
  </si>
  <si>
    <t xml:space="preserve">120 GÜN VADELİ ÇEK İLE </t>
  </si>
  <si>
    <t>M  O O  N</t>
  </si>
  <si>
    <t>KDV %18 :</t>
  </si>
  <si>
    <t xml:space="preserve">1 m/sn </t>
  </si>
  <si>
    <t>MR TAM OTOMATİK PAKET ASANSÖR TEKLİFİ</t>
  </si>
  <si>
    <t>2020/032-3</t>
  </si>
  <si>
    <r>
      <t>KASNAK KORUMALIK SACI</t>
    </r>
    <r>
      <rPr>
        <b/>
        <sz val="9"/>
        <color theme="1"/>
        <rFont val="Calibri"/>
        <family val="2"/>
        <charset val="162"/>
        <scheme val="minor"/>
      </rPr>
      <t xml:space="preserve"> (TAHRİK+SAPTIRMA)</t>
    </r>
  </si>
  <si>
    <t>6 LIK ( 6*19 )+7K.ÖZLÜ HALAT (İTHAL)</t>
  </si>
  <si>
    <t xml:space="preserve">9-11 mmHALAT ŞİŞESİ </t>
  </si>
  <si>
    <t>M10 HALAT KLEMENSİ</t>
  </si>
  <si>
    <t>M6 HALAT KLEMENSİ</t>
  </si>
  <si>
    <t>10'LUK HALAT TUTUCU</t>
  </si>
  <si>
    <t>MF1 PRO-E (21 mt ) 7,5KW 425X5X10MM 1/MS 800 KG VVVF  M.MOTOR</t>
  </si>
  <si>
    <t>GNL TOPLAM :</t>
  </si>
  <si>
    <t>NAKİT FİYATIMIZ:</t>
  </si>
  <si>
    <t xml:space="preserve">ALIŞ KUR </t>
  </si>
  <si>
    <t xml:space="preserve">SATIŞ KUR </t>
  </si>
  <si>
    <t xml:space="preserve">EURO </t>
  </si>
  <si>
    <t xml:space="preserve">MAK.ŞAŞESİ 120 NPU+5mm SAC KESİM VİDALI( TAKOZ ve SAPLAMA DAHİL )  </t>
  </si>
  <si>
    <r>
      <t xml:space="preserve">800 KG SATİNE PASL.430 , AYNA PASL.AKSESUAR GALVANİZ SAÇ TABAN: </t>
    </r>
    <r>
      <rPr>
        <sz val="9"/>
        <color rgb="FFFF0000"/>
        <rFont val="Calibri"/>
        <family val="2"/>
        <charset val="162"/>
        <scheme val="minor"/>
      </rPr>
      <t>İTHAL</t>
    </r>
    <r>
      <rPr>
        <sz val="9"/>
        <color theme="1"/>
        <rFont val="Calibri"/>
        <family val="2"/>
        <charset val="162"/>
        <scheme val="minor"/>
      </rPr>
      <t xml:space="preserve"> </t>
    </r>
    <r>
      <rPr>
        <sz val="9"/>
        <color rgb="FFFF0000"/>
        <rFont val="Calibri"/>
        <family val="2"/>
        <charset val="162"/>
        <scheme val="minor"/>
      </rPr>
      <t>PVC</t>
    </r>
    <r>
      <rPr>
        <sz val="9"/>
        <color theme="1"/>
        <rFont val="Calibri"/>
        <family val="2"/>
        <charset val="162"/>
        <scheme val="minor"/>
      </rPr>
      <t xml:space="preserve"> SÜSPANSİYON  DAHİL </t>
    </r>
  </si>
  <si>
    <r>
      <rPr>
        <b/>
        <sz val="8"/>
        <color theme="1"/>
        <rFont val="Calibri"/>
        <family val="2"/>
        <charset val="162"/>
        <scheme val="minor"/>
      </rPr>
      <t xml:space="preserve">İABORT  </t>
    </r>
    <r>
      <rPr>
        <sz val="9"/>
        <color theme="1"/>
        <rFont val="Calibri"/>
        <family val="2"/>
        <charset val="162"/>
        <scheme val="minor"/>
      </rPr>
      <t>7,5 KW</t>
    </r>
    <r>
      <rPr>
        <sz val="9"/>
        <color rgb="FFFF0000"/>
        <rFont val="Calibri"/>
        <family val="2"/>
        <charset val="162"/>
        <scheme val="minor"/>
      </rPr>
      <t xml:space="preserve"> </t>
    </r>
    <r>
      <rPr>
        <b/>
        <sz val="8"/>
        <rFont val="Calibri"/>
        <family val="2"/>
        <charset val="162"/>
        <scheme val="minor"/>
      </rPr>
      <t xml:space="preserve">İLİFT </t>
    </r>
    <r>
      <rPr>
        <sz val="9"/>
        <color rgb="FFFF0000"/>
        <rFont val="Calibri"/>
        <family val="2"/>
        <charset val="162"/>
        <scheme val="minor"/>
      </rPr>
      <t>UPS HARİÇ</t>
    </r>
    <r>
      <rPr>
        <sz val="9"/>
        <rFont val="Calibri"/>
        <family val="2"/>
        <charset val="162"/>
        <scheme val="minor"/>
      </rPr>
      <t xml:space="preserve"> </t>
    </r>
    <r>
      <rPr>
        <sz val="9"/>
        <color theme="1"/>
        <rFont val="Calibri"/>
        <family val="2"/>
        <charset val="162"/>
        <scheme val="minor"/>
      </rPr>
      <t xml:space="preserve"> KUMANDA PANOSU   C&amp;S</t>
    </r>
    <r>
      <rPr>
        <sz val="8"/>
        <rFont val="Calibri"/>
        <family val="2"/>
        <charset val="162"/>
        <scheme val="minor"/>
      </rPr>
      <t xml:space="preserve"> KONTAKTÖR &amp; SİGORTA </t>
    </r>
    <r>
      <rPr>
        <sz val="9"/>
        <rFont val="Calibri"/>
        <family val="2"/>
        <charset val="162"/>
        <scheme val="minor"/>
      </rPr>
      <t xml:space="preserve"> </t>
    </r>
    <r>
      <rPr>
        <b/>
        <sz val="9"/>
        <rFont val="Calibri"/>
        <family val="2"/>
        <charset val="162"/>
        <scheme val="minor"/>
      </rPr>
      <t xml:space="preserve"> </t>
    </r>
  </si>
  <si>
    <r>
      <t xml:space="preserve">900*2000 mm 2 PNL.SATİNE  201 PASL  </t>
    </r>
    <r>
      <rPr>
        <b/>
        <sz val="8"/>
        <color theme="1"/>
        <rFont val="Calibri"/>
        <family val="2"/>
        <charset val="162"/>
        <scheme val="minor"/>
      </rPr>
      <t>TELESKOPİK</t>
    </r>
    <r>
      <rPr>
        <sz val="9"/>
        <color theme="1"/>
        <rFont val="Calibri"/>
        <family val="2"/>
        <charset val="162"/>
        <scheme val="minor"/>
      </rPr>
      <t xml:space="preserve"> KAT KAPISI</t>
    </r>
  </si>
  <si>
    <r>
      <t xml:space="preserve">900*2000 mm 2 PNL.SATİNE  201 PASL  </t>
    </r>
    <r>
      <rPr>
        <b/>
        <sz val="8"/>
        <color theme="1"/>
        <rFont val="Calibri"/>
        <family val="2"/>
        <charset val="162"/>
        <scheme val="minor"/>
      </rPr>
      <t>TELESKOPİK</t>
    </r>
    <r>
      <rPr>
        <sz val="9"/>
        <color theme="1"/>
        <rFont val="Calibri"/>
        <family val="2"/>
        <charset val="162"/>
        <scheme val="minor"/>
      </rPr>
      <t xml:space="preserve"> KABİN KAPISI</t>
    </r>
  </si>
  <si>
    <t xml:space="preserve">TAM BOY PANEL SIVA ÜSTÜ İNT-FAN-LOGO T.O. BUZZERLİ KABİN KASETİ </t>
  </si>
  <si>
    <t>PROLİFT</t>
  </si>
  <si>
    <t>REGÜLATÖR TAKIMI 190 V 1 m/sn 81.20</t>
  </si>
  <si>
    <t>BOY FOTOSEL   (WE-GO )</t>
  </si>
  <si>
    <t>TAMPON TAKIMI TEKLİ + ÇİFTLİ (LASTEK)</t>
  </si>
  <si>
    <t xml:space="preserve">0,80 mm NYA  KABLO  </t>
  </si>
  <si>
    <t>LİSTE FİYATI</t>
  </si>
  <si>
    <t>BETON PRES AĞIRLIK 96 LIK 25 KĞ -RATE</t>
  </si>
  <si>
    <t xml:space="preserve">YAPRAK TIRNAK VİDALI 50 LİK </t>
  </si>
  <si>
    <t xml:space="preserve">YAPRAK TIRNAK VİDALI 70-90 LİK </t>
  </si>
  <si>
    <t>FLEKSEBIL KABLO (32*0,75 + 4*0,22) mm SERİ HABERLEŞMELİ</t>
  </si>
  <si>
    <t>BURAK KILBAY</t>
  </si>
  <si>
    <t>REVİZYON SETİ                   ( PANOYA DAHİL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</si>
</sst>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₺&quot;;[Red]\-#,##0.00\ &quot;₺&quot;"/>
    <numFmt numFmtId="164" formatCode="#,##0.00_ ;[Red]\-#,##0.00\ "/>
    <numFmt numFmtId="165" formatCode="##,#00\ \k\i\l\o"/>
    <numFmt numFmtId="166" formatCode="#,##0.00\ [$₺-41F]"/>
    <numFmt numFmtId="167" formatCode="#,##0.00\ &quot;TL&quot;"/>
  </numFmts>
  <fonts count="3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10"/>
      <color rgb="FF0070C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u/>
      <sz val="10"/>
      <color theme="1"/>
      <name val="Calibri"/>
      <family val="2"/>
      <charset val="162"/>
      <scheme val="minor"/>
    </font>
    <font>
      <b/>
      <u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4"/>
      <color theme="1"/>
      <name val="Algerian"/>
      <family val="5"/>
    </font>
    <font>
      <u/>
      <sz val="10"/>
      <color theme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22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locked="0"/>
    </xf>
    <xf numFmtId="166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166" fontId="6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66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9" fontId="6" fillId="0" borderId="0" xfId="1" applyFont="1" applyProtection="1">
      <protection locked="0"/>
    </xf>
    <xf numFmtId="0" fontId="8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66" fontId="8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Protection="1">
      <protection locked="0"/>
    </xf>
    <xf numFmtId="167" fontId="8" fillId="2" borderId="0" xfId="0" applyNumberFormat="1" applyFont="1" applyFill="1" applyProtection="1"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8" fontId="1" fillId="0" borderId="0" xfId="0" applyNumberFormat="1" applyFont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locked="0"/>
    </xf>
    <xf numFmtId="8" fontId="8" fillId="2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4" fontId="15" fillId="3" borderId="2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8" fontId="8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/>
      <protection hidden="1"/>
    </xf>
    <xf numFmtId="14" fontId="8" fillId="0" borderId="0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8" fontId="1" fillId="0" borderId="3" xfId="0" applyNumberFormat="1" applyFont="1" applyBorder="1" applyProtection="1">
      <protection locked="0"/>
    </xf>
    <xf numFmtId="8" fontId="17" fillId="0" borderId="0" xfId="0" applyNumberFormat="1" applyFont="1" applyBorder="1" applyProtection="1">
      <protection locked="0"/>
    </xf>
    <xf numFmtId="8" fontId="17" fillId="0" borderId="3" xfId="0" applyNumberFormat="1" applyFont="1" applyBorder="1" applyProtection="1">
      <protection locked="0"/>
    </xf>
    <xf numFmtId="8" fontId="14" fillId="0" borderId="0" xfId="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Protection="1">
      <protection locked="0"/>
    </xf>
    <xf numFmtId="164" fontId="12" fillId="0" borderId="0" xfId="0" applyNumberFormat="1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8" fillId="0" borderId="0" xfId="0" applyFont="1" applyBorder="1" applyAlignment="1" applyProtection="1">
      <protection locked="0"/>
    </xf>
    <xf numFmtId="0" fontId="0" fillId="0" borderId="0" xfId="0" applyAlignment="1"/>
    <xf numFmtId="0" fontId="9" fillId="0" borderId="0" xfId="0" applyFont="1" applyBorder="1" applyAlignment="1" applyProtection="1">
      <alignment horizontal="center" vertical="center"/>
      <protection hidden="1"/>
    </xf>
    <xf numFmtId="164" fontId="12" fillId="0" borderId="1" xfId="0" applyNumberFormat="1" applyFont="1" applyBorder="1" applyAlignment="1" applyProtection="1">
      <alignment horizontal="right"/>
      <protection locked="0"/>
    </xf>
    <xf numFmtId="8" fontId="14" fillId="0" borderId="1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7" fillId="0" borderId="0" xfId="2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locked="0"/>
    </xf>
    <xf numFmtId="164" fontId="12" fillId="0" borderId="0" xfId="0" applyNumberFormat="1" applyFont="1" applyBorder="1" applyAlignment="1" applyProtection="1">
      <protection locked="0"/>
    </xf>
    <xf numFmtId="8" fontId="14" fillId="0" borderId="3" xfId="0" applyNumberFormat="1" applyFont="1" applyBorder="1" applyProtection="1">
      <protection locked="0"/>
    </xf>
    <xf numFmtId="164" fontId="12" fillId="0" borderId="3" xfId="0" applyNumberFormat="1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vertical="center"/>
      <protection locked="0"/>
    </xf>
    <xf numFmtId="4" fontId="10" fillId="0" borderId="0" xfId="0" applyNumberFormat="1" applyFont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Protection="1">
      <protection locked="0"/>
    </xf>
    <xf numFmtId="165" fontId="3" fillId="4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5" fillId="3" borderId="2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16" fillId="3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7" fillId="0" borderId="0" xfId="0" applyNumberFormat="1" applyFont="1" applyBorder="1" applyAlignment="1" applyProtection="1">
      <alignment horizontal="right"/>
      <protection locked="0"/>
    </xf>
    <xf numFmtId="164" fontId="17" fillId="0" borderId="3" xfId="0" applyNumberFormat="1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9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22" fillId="0" borderId="0" xfId="0" applyFont="1" applyBorder="1" applyAlignment="1" applyProtection="1">
      <protection locked="0"/>
    </xf>
    <xf numFmtId="0" fontId="22" fillId="0" borderId="0" xfId="0" applyFont="1" applyAlignment="1"/>
    <xf numFmtId="164" fontId="1" fillId="0" borderId="3" xfId="0" applyNumberFormat="1" applyFont="1" applyBorder="1" applyAlignment="1" applyProtection="1">
      <alignment horizontal="left"/>
      <protection locked="0"/>
    </xf>
    <xf numFmtId="164" fontId="17" fillId="0" borderId="4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164" fontId="17" fillId="0" borderId="0" xfId="0" applyNumberFormat="1" applyFont="1" applyAlignment="1" applyProtection="1">
      <alignment horizontal="right"/>
      <protection locked="0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94081</xdr:rowOff>
    </xdr:from>
    <xdr:to>
      <xdr:col>3</xdr:col>
      <xdr:colOff>533400</xdr:colOff>
      <xdr:row>5</xdr:row>
      <xdr:rowOff>2532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4081"/>
          <a:ext cx="3886200" cy="853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28574</xdr:rowOff>
    </xdr:from>
    <xdr:to>
      <xdr:col>4</xdr:col>
      <xdr:colOff>990600</xdr:colOff>
      <xdr:row>3</xdr:row>
      <xdr:rowOff>156209</xdr:rowOff>
    </xdr:to>
    <xdr:pic>
      <xdr:nvPicPr>
        <xdr:cNvPr id="5" name="Picture 38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4"/>
          <a:ext cx="3200400" cy="756285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0</xdr:row>
      <xdr:rowOff>95251</xdr:rowOff>
    </xdr:from>
    <xdr:to>
      <xdr:col>11</xdr:col>
      <xdr:colOff>19238</xdr:colOff>
      <xdr:row>3</xdr:row>
      <xdr:rowOff>123825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5251"/>
          <a:ext cx="2552888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kfaliftasansor.com/" TargetMode="External"/><Relationship Id="rId1" Type="http://schemas.openxmlformats.org/officeDocument/2006/relationships/hyperlink" Target="mailto:info@akfalift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7:H28"/>
  <sheetViews>
    <sheetView topLeftCell="A7" workbookViewId="0">
      <selection activeCell="C27" sqref="C27"/>
    </sheetView>
  </sheetViews>
  <sheetFormatPr defaultRowHeight="15" x14ac:dyDescent="0.25"/>
  <cols>
    <col min="1" max="1" width="20.85546875" bestFit="1" customWidth="1"/>
    <col min="2" max="2" width="2.85546875" customWidth="1"/>
    <col min="3" max="3" width="29.7109375" bestFit="1" customWidth="1"/>
  </cols>
  <sheetData>
    <row r="7" spans="1:8" ht="18.75" x14ac:dyDescent="0.25">
      <c r="A7" s="4" t="s">
        <v>38</v>
      </c>
      <c r="B7" s="9" t="s">
        <v>39</v>
      </c>
      <c r="C7" s="91" t="s">
        <v>41</v>
      </c>
      <c r="D7" s="91"/>
      <c r="E7" s="91"/>
      <c r="F7" s="91"/>
      <c r="G7" s="91"/>
      <c r="H7" s="91"/>
    </row>
    <row r="8" spans="1:8" ht="18.75" x14ac:dyDescent="0.25">
      <c r="A8" s="4" t="s">
        <v>25</v>
      </c>
      <c r="B8" s="9" t="s">
        <v>39</v>
      </c>
      <c r="C8" s="7">
        <f ca="1">NOW()</f>
        <v>44600.64223020833</v>
      </c>
      <c r="D8" s="4"/>
      <c r="E8" s="4"/>
      <c r="F8" s="3"/>
      <c r="G8" s="3"/>
      <c r="H8" s="3"/>
    </row>
    <row r="9" spans="1:8" ht="18.75" x14ac:dyDescent="0.3">
      <c r="A9" s="10" t="s">
        <v>7</v>
      </c>
      <c r="B9" s="9" t="s">
        <v>39</v>
      </c>
      <c r="C9" s="80" t="s">
        <v>112</v>
      </c>
      <c r="D9" s="5"/>
      <c r="E9" s="5"/>
      <c r="F9" s="5"/>
      <c r="G9" s="5"/>
      <c r="H9" s="5"/>
    </row>
    <row r="10" spans="1:8" ht="18.75" x14ac:dyDescent="0.25">
      <c r="A10" s="4" t="s">
        <v>0</v>
      </c>
      <c r="B10" s="9" t="s">
        <v>39</v>
      </c>
      <c r="C10" s="80"/>
      <c r="D10" s="3"/>
      <c r="E10" s="3"/>
      <c r="F10" s="3"/>
      <c r="G10" s="3"/>
      <c r="H10" s="3"/>
    </row>
    <row r="11" spans="1:8" ht="18.75" x14ac:dyDescent="0.25">
      <c r="A11" s="4" t="s">
        <v>1</v>
      </c>
      <c r="B11" s="9" t="s">
        <v>39</v>
      </c>
      <c r="C11" s="80"/>
      <c r="D11" s="3"/>
      <c r="E11" s="3"/>
      <c r="F11" s="3"/>
      <c r="G11" s="3"/>
      <c r="H11" s="3"/>
    </row>
    <row r="12" spans="1:8" ht="18.75" x14ac:dyDescent="0.25">
      <c r="A12" s="4" t="s">
        <v>2</v>
      </c>
      <c r="B12" s="9" t="s">
        <v>39</v>
      </c>
      <c r="C12" s="80" t="s">
        <v>141</v>
      </c>
      <c r="D12" s="3"/>
      <c r="E12" s="3"/>
      <c r="F12" s="3"/>
      <c r="G12" s="3"/>
      <c r="H12" s="3"/>
    </row>
    <row r="13" spans="1:8" ht="18.75" x14ac:dyDescent="0.25">
      <c r="A13" s="4" t="s">
        <v>50</v>
      </c>
      <c r="B13" s="9" t="s">
        <v>39</v>
      </c>
      <c r="C13" s="80"/>
      <c r="D13" s="3"/>
      <c r="E13" s="3"/>
      <c r="F13" s="3"/>
      <c r="G13" s="3"/>
      <c r="H13" s="3"/>
    </row>
    <row r="14" spans="1:8" ht="18.75" x14ac:dyDescent="0.25">
      <c r="A14" s="4" t="s">
        <v>3</v>
      </c>
      <c r="B14" s="9" t="s">
        <v>39</v>
      </c>
      <c r="C14" s="80" t="s">
        <v>107</v>
      </c>
      <c r="D14" s="4"/>
      <c r="E14" s="4"/>
      <c r="F14" s="3"/>
      <c r="G14" s="3"/>
      <c r="H14" s="3"/>
    </row>
    <row r="15" spans="1:8" ht="18.75" x14ac:dyDescent="0.3">
      <c r="A15" s="4" t="s">
        <v>4</v>
      </c>
      <c r="B15" s="9" t="s">
        <v>39</v>
      </c>
      <c r="C15" s="80" t="s">
        <v>24</v>
      </c>
      <c r="D15" s="5"/>
      <c r="E15" s="5"/>
      <c r="F15" s="5"/>
      <c r="G15" s="5"/>
      <c r="H15" s="5"/>
    </row>
    <row r="16" spans="1:8" ht="18.75" x14ac:dyDescent="0.3">
      <c r="A16" s="4" t="s">
        <v>5</v>
      </c>
      <c r="B16" s="9" t="s">
        <v>39</v>
      </c>
      <c r="C16" s="88">
        <v>5</v>
      </c>
      <c r="D16" s="5"/>
      <c r="E16" s="5"/>
      <c r="F16" s="5"/>
      <c r="G16" s="5"/>
      <c r="H16" s="5"/>
    </row>
    <row r="17" spans="1:8" ht="18.75" x14ac:dyDescent="0.3">
      <c r="A17" s="4" t="s">
        <v>6</v>
      </c>
      <c r="B17" s="9" t="s">
        <v>39</v>
      </c>
      <c r="C17" s="88">
        <v>3</v>
      </c>
      <c r="D17" s="5"/>
      <c r="E17" s="5"/>
      <c r="F17" s="5"/>
      <c r="G17" s="5"/>
      <c r="H17" s="5"/>
    </row>
    <row r="18" spans="1:8" ht="18.75" x14ac:dyDescent="0.3">
      <c r="A18" s="4" t="s">
        <v>68</v>
      </c>
      <c r="B18" s="9" t="s">
        <v>39</v>
      </c>
      <c r="C18" s="80" t="s">
        <v>69</v>
      </c>
      <c r="D18" s="5"/>
      <c r="E18" s="5"/>
      <c r="F18" s="5"/>
      <c r="G18" s="5"/>
      <c r="H18" s="5"/>
    </row>
    <row r="19" spans="1:8" ht="18.75" x14ac:dyDescent="0.3">
      <c r="A19" s="4" t="s">
        <v>23</v>
      </c>
      <c r="B19" s="9" t="s">
        <v>39</v>
      </c>
      <c r="C19" s="88">
        <v>800</v>
      </c>
      <c r="D19" s="5"/>
      <c r="E19" s="5"/>
      <c r="F19" s="5"/>
      <c r="G19" s="5"/>
      <c r="H19" s="5"/>
    </row>
    <row r="20" spans="1:8" ht="18.75" x14ac:dyDescent="0.3">
      <c r="A20" s="10" t="s">
        <v>8</v>
      </c>
      <c r="B20" s="9" t="s">
        <v>39</v>
      </c>
      <c r="C20" s="80" t="s">
        <v>110</v>
      </c>
      <c r="D20" s="5"/>
      <c r="E20" s="5"/>
      <c r="F20" s="5"/>
      <c r="G20" s="5"/>
      <c r="H20" s="5"/>
    </row>
    <row r="21" spans="1:8" ht="18.75" x14ac:dyDescent="0.3">
      <c r="A21" s="10" t="s">
        <v>9</v>
      </c>
      <c r="B21" s="9" t="s">
        <v>39</v>
      </c>
      <c r="C21" s="80" t="s">
        <v>67</v>
      </c>
      <c r="D21" s="89">
        <v>1</v>
      </c>
      <c r="E21" s="5"/>
      <c r="F21" s="5"/>
      <c r="G21" s="5"/>
      <c r="H21" s="5"/>
    </row>
    <row r="22" spans="1:8" ht="18.75" x14ac:dyDescent="0.3">
      <c r="A22" s="10" t="s">
        <v>10</v>
      </c>
      <c r="B22" s="9" t="s">
        <v>39</v>
      </c>
      <c r="C22" s="88">
        <v>5</v>
      </c>
      <c r="D22" s="5"/>
      <c r="E22" s="5"/>
      <c r="F22" s="5"/>
      <c r="G22" s="5"/>
      <c r="H22" s="5"/>
    </row>
    <row r="23" spans="1:8" ht="18.75" x14ac:dyDescent="0.3">
      <c r="A23" s="10" t="s">
        <v>37</v>
      </c>
      <c r="B23" s="9" t="s">
        <v>39</v>
      </c>
      <c r="C23" s="8" t="s">
        <v>48</v>
      </c>
      <c r="D23" s="5"/>
      <c r="E23" s="5"/>
      <c r="F23" s="5"/>
      <c r="G23" s="5"/>
      <c r="H23" s="5"/>
    </row>
    <row r="24" spans="1:8" ht="18.75" x14ac:dyDescent="0.3">
      <c r="A24" s="10"/>
      <c r="B24" s="9"/>
      <c r="C24" s="8"/>
      <c r="D24" s="1"/>
      <c r="E24" s="1"/>
      <c r="F24" s="1"/>
      <c r="G24" s="1"/>
      <c r="H24" s="1"/>
    </row>
    <row r="25" spans="1:8" x14ac:dyDescent="0.25">
      <c r="A25" s="1"/>
      <c r="B25" s="2"/>
      <c r="C25" s="6"/>
      <c r="D25" s="1"/>
      <c r="E25" s="1"/>
      <c r="F25" s="1"/>
      <c r="G25" s="1"/>
      <c r="H25" s="1"/>
    </row>
    <row r="26" spans="1:8" x14ac:dyDescent="0.25">
      <c r="A26" s="1"/>
      <c r="B26" s="2"/>
      <c r="C26" s="6"/>
      <c r="D26" s="1"/>
      <c r="E26" s="1"/>
      <c r="F26" s="1"/>
      <c r="G26" s="1"/>
      <c r="H26" s="1"/>
    </row>
    <row r="27" spans="1:8" ht="18.75" x14ac:dyDescent="0.3">
      <c r="A27" s="10" t="s">
        <v>40</v>
      </c>
      <c r="B27" s="9" t="s">
        <v>39</v>
      </c>
      <c r="C27" s="90">
        <v>600</v>
      </c>
      <c r="D27" s="1"/>
      <c r="E27" s="1"/>
      <c r="F27" s="1"/>
      <c r="G27" s="1"/>
      <c r="H27" s="1"/>
    </row>
    <row r="28" spans="1:8" x14ac:dyDescent="0.25">
      <c r="A28" s="1"/>
      <c r="B28" s="2"/>
      <c r="C28" s="6"/>
      <c r="D28" s="1"/>
      <c r="E28" s="1"/>
      <c r="F28" s="1"/>
      <c r="G28" s="1"/>
      <c r="H28" s="1"/>
    </row>
  </sheetData>
  <mergeCells count="1">
    <mergeCell ref="C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>
    <tabColor rgb="FF00B0F0"/>
    <pageSetUpPr fitToPage="1"/>
  </sheetPr>
  <dimension ref="A1:Q148"/>
  <sheetViews>
    <sheetView tabSelected="1" workbookViewId="0">
      <pane ySplit="11" topLeftCell="A30" activePane="bottomLeft" state="frozen"/>
      <selection pane="bottomLeft" activeCell="I43" sqref="I43"/>
    </sheetView>
  </sheetViews>
  <sheetFormatPr defaultColWidth="8.85546875" defaultRowHeight="15" x14ac:dyDescent="0.25"/>
  <cols>
    <col min="1" max="1" width="3.85546875" style="12" customWidth="1"/>
    <col min="2" max="2" width="11.85546875" style="23" customWidth="1"/>
    <col min="3" max="4" width="8.85546875" style="12"/>
    <col min="5" max="5" width="15.5703125" style="12" customWidth="1"/>
    <col min="6" max="6" width="11.85546875" style="12" bestFit="1" customWidth="1"/>
    <col min="7" max="7" width="7.7109375" style="12" customWidth="1"/>
    <col min="8" max="8" width="12.28515625" style="23" customWidth="1"/>
    <col min="9" max="9" width="7.85546875" style="23" customWidth="1"/>
    <col min="10" max="10" width="14" style="12" customWidth="1"/>
    <col min="11" max="11" width="14.7109375" style="12" customWidth="1"/>
    <col min="12" max="12" width="8.85546875" style="12"/>
    <col min="13" max="13" width="10.7109375" style="13" customWidth="1"/>
    <col min="14" max="14" width="11.7109375" style="13" customWidth="1"/>
    <col min="15" max="16384" width="8.85546875" style="12"/>
  </cols>
  <sheetData>
    <row r="1" spans="1:17" ht="15.6" customHeight="1" x14ac:dyDescent="0.25">
      <c r="A1" s="11"/>
      <c r="B1" s="11"/>
      <c r="C1" s="11"/>
      <c r="D1" s="11"/>
      <c r="E1" s="11"/>
      <c r="F1" s="92"/>
      <c r="G1" s="93"/>
      <c r="H1" s="93"/>
      <c r="I1" s="78"/>
      <c r="J1" s="78"/>
      <c r="K1" s="78"/>
    </row>
    <row r="2" spans="1:17" ht="14.45" customHeight="1" x14ac:dyDescent="0.25">
      <c r="A2" s="11"/>
      <c r="B2" s="11"/>
      <c r="C2" s="11"/>
      <c r="D2" s="11"/>
      <c r="E2" s="11"/>
      <c r="F2" s="93"/>
      <c r="G2" s="93"/>
      <c r="H2" s="93"/>
      <c r="I2" s="78"/>
      <c r="J2" s="78"/>
      <c r="K2" s="78"/>
    </row>
    <row r="3" spans="1:17" ht="18" customHeight="1" x14ac:dyDescent="0.3">
      <c r="A3" s="11"/>
      <c r="B3" s="99"/>
      <c r="C3" s="100"/>
      <c r="D3" s="100"/>
      <c r="E3" s="11"/>
      <c r="F3" s="93"/>
      <c r="G3" s="93"/>
      <c r="H3" s="93"/>
      <c r="I3" s="78"/>
      <c r="J3" s="78"/>
      <c r="K3" s="78"/>
    </row>
    <row r="4" spans="1:17" ht="14.45" customHeight="1" x14ac:dyDescent="0.25">
      <c r="A4" s="11"/>
      <c r="B4" s="11"/>
      <c r="C4" s="11"/>
      <c r="D4" s="11"/>
      <c r="E4" s="11"/>
      <c r="F4" s="94"/>
      <c r="G4" s="94"/>
      <c r="H4" s="94"/>
      <c r="I4" s="79"/>
      <c r="J4" s="79"/>
      <c r="K4" s="79"/>
    </row>
    <row r="5" spans="1:17" s="14" customFormat="1" x14ac:dyDescent="0.25">
      <c r="A5" s="102" t="s">
        <v>111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M5" s="15"/>
      <c r="N5" s="15"/>
    </row>
    <row r="6" spans="1:17" s="16" customFormat="1" ht="12" x14ac:dyDescent="0.25">
      <c r="A6" s="95" t="s">
        <v>0</v>
      </c>
      <c r="B6" s="95"/>
      <c r="C6" s="95">
        <f>ÖZELLİKLER!C10</f>
        <v>0</v>
      </c>
      <c r="D6" s="95"/>
      <c r="E6" s="95"/>
      <c r="F6" s="41" t="s">
        <v>4</v>
      </c>
      <c r="G6" s="95" t="str">
        <f>ÖZELLİKLER!C15</f>
        <v>3 - 4 HAFTA</v>
      </c>
      <c r="H6" s="95"/>
      <c r="I6" s="101" t="s">
        <v>25</v>
      </c>
      <c r="J6" s="101"/>
      <c r="K6" s="49">
        <f ca="1">ÖZELLİKLER!C8</f>
        <v>44600.64223020833</v>
      </c>
      <c r="M6" s="17"/>
      <c r="N6" s="17"/>
    </row>
    <row r="7" spans="1:17" s="16" customFormat="1" ht="12" x14ac:dyDescent="0.25">
      <c r="A7" s="95" t="s">
        <v>1</v>
      </c>
      <c r="B7" s="95"/>
      <c r="C7" s="95">
        <f>ÖZELLİKLER!C11</f>
        <v>0</v>
      </c>
      <c r="D7" s="95"/>
      <c r="E7" s="95"/>
      <c r="F7" s="41" t="s">
        <v>5</v>
      </c>
      <c r="G7" s="43">
        <f>ÖZELLİKLER!C16</f>
        <v>5</v>
      </c>
      <c r="H7" s="42" t="s">
        <v>7</v>
      </c>
      <c r="I7" s="101" t="str">
        <f>ÖZELLİKLER!C9</f>
        <v>2020/032-3</v>
      </c>
      <c r="J7" s="101"/>
      <c r="K7" s="43" t="s">
        <v>37</v>
      </c>
      <c r="M7" s="17"/>
      <c r="N7" s="17"/>
    </row>
    <row r="8" spans="1:17" s="16" customFormat="1" ht="12" x14ac:dyDescent="0.25">
      <c r="A8" s="95" t="s">
        <v>2</v>
      </c>
      <c r="B8" s="95"/>
      <c r="C8" s="95" t="str">
        <f>ÖZELLİKLER!C12</f>
        <v>BURAK KILBAY</v>
      </c>
      <c r="D8" s="95"/>
      <c r="E8" s="95"/>
      <c r="F8" s="41" t="s">
        <v>6</v>
      </c>
      <c r="G8" s="43">
        <f>ÖZELLİKLER!C17</f>
        <v>3</v>
      </c>
      <c r="H8" s="42" t="s">
        <v>8</v>
      </c>
      <c r="I8" s="101" t="str">
        <f>ÖZELLİKLER!C20</f>
        <v xml:space="preserve">1 m/sn </v>
      </c>
      <c r="J8" s="101"/>
      <c r="K8" s="43" t="str">
        <f>ÖZELLİKLER!C23</f>
        <v>TELESKOPİK</v>
      </c>
      <c r="M8" s="17"/>
      <c r="N8" s="17"/>
    </row>
    <row r="9" spans="1:17" s="16" customFormat="1" ht="12" x14ac:dyDescent="0.25">
      <c r="A9" s="95" t="s">
        <v>51</v>
      </c>
      <c r="B9" s="95"/>
      <c r="C9" s="103">
        <f>ÖZELLİKLER!C13</f>
        <v>0</v>
      </c>
      <c r="D9" s="103"/>
      <c r="E9" s="103"/>
      <c r="F9" s="41" t="s">
        <v>105</v>
      </c>
      <c r="G9" s="68" t="str">
        <f>ÖZELLİKLER!C18</f>
        <v>EN 81.20</v>
      </c>
      <c r="H9" s="42" t="s">
        <v>9</v>
      </c>
      <c r="I9" s="101" t="str">
        <f>ÖZELLİKLER!C21</f>
        <v>1:1 ASKI</v>
      </c>
      <c r="J9" s="101"/>
      <c r="K9" s="71"/>
      <c r="M9" s="17"/>
      <c r="N9" s="17"/>
    </row>
    <row r="10" spans="1:17" s="16" customFormat="1" ht="12" x14ac:dyDescent="0.25">
      <c r="A10" s="95" t="s">
        <v>3</v>
      </c>
      <c r="B10" s="95"/>
      <c r="C10" s="95" t="str">
        <f>ÖZELLİKLER!C14</f>
        <v xml:space="preserve">120 GÜN VADELİ ÇEK İLE </v>
      </c>
      <c r="D10" s="95"/>
      <c r="E10" s="95"/>
      <c r="F10" s="41" t="s">
        <v>23</v>
      </c>
      <c r="G10" s="43">
        <f>ÖZELLİKLER!C19</f>
        <v>800</v>
      </c>
      <c r="H10" s="42" t="s">
        <v>10</v>
      </c>
      <c r="I10" s="101">
        <f>ÖZELLİKLER!C22</f>
        <v>5</v>
      </c>
      <c r="J10" s="101"/>
      <c r="K10" s="77"/>
      <c r="M10" s="17"/>
      <c r="N10" s="17"/>
    </row>
    <row r="11" spans="1:17" s="18" customFormat="1" ht="15.75" customHeight="1" x14ac:dyDescent="0.25">
      <c r="A11" s="48" t="s">
        <v>11</v>
      </c>
      <c r="B11" s="48" t="s">
        <v>12</v>
      </c>
      <c r="C11" s="98" t="s">
        <v>13</v>
      </c>
      <c r="D11" s="98"/>
      <c r="E11" s="98"/>
      <c r="F11" s="98"/>
      <c r="G11" s="98"/>
      <c r="H11" s="48" t="s">
        <v>14</v>
      </c>
      <c r="I11" s="48" t="s">
        <v>15</v>
      </c>
      <c r="J11" s="44" t="s">
        <v>17</v>
      </c>
      <c r="K11" s="44" t="s">
        <v>16</v>
      </c>
      <c r="M11" s="19"/>
      <c r="N11" s="19"/>
    </row>
    <row r="12" spans="1:17" s="18" customFormat="1" ht="6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M12" s="19"/>
      <c r="N12" s="19"/>
    </row>
    <row r="13" spans="1:17" s="16" customFormat="1" ht="12" customHeight="1" x14ac:dyDescent="0.25">
      <c r="A13" s="36">
        <v>1</v>
      </c>
      <c r="B13" s="37" t="s">
        <v>77</v>
      </c>
      <c r="C13" s="96" t="s">
        <v>119</v>
      </c>
      <c r="D13" s="96"/>
      <c r="E13" s="96"/>
      <c r="F13" s="96"/>
      <c r="G13" s="96"/>
      <c r="H13" s="45">
        <f>G7/G7</f>
        <v>1</v>
      </c>
      <c r="I13" s="37" t="s">
        <v>84</v>
      </c>
      <c r="J13" s="46">
        <f>P13-P13*0.2</f>
        <v>8028</v>
      </c>
      <c r="K13" s="46">
        <f t="shared" ref="K13:K25" si="0">H13*J13</f>
        <v>8028</v>
      </c>
      <c r="L13" s="30"/>
      <c r="M13" s="31">
        <f>P13-P13*0.25</f>
        <v>7526.25</v>
      </c>
      <c r="N13" s="31">
        <f t="shared" ref="N13:N21" si="1">H13*M13</f>
        <v>7526.25</v>
      </c>
      <c r="O13" s="86" t="s">
        <v>136</v>
      </c>
      <c r="P13" s="87">
        <v>10035</v>
      </c>
    </row>
    <row r="14" spans="1:17" s="16" customFormat="1" ht="12" customHeight="1" x14ac:dyDescent="0.25">
      <c r="A14" s="36">
        <v>2</v>
      </c>
      <c r="B14" s="37" t="s">
        <v>47</v>
      </c>
      <c r="C14" s="96" t="s">
        <v>132</v>
      </c>
      <c r="D14" s="96"/>
      <c r="E14" s="96"/>
      <c r="F14" s="96"/>
      <c r="G14" s="96"/>
      <c r="H14" s="45">
        <v>1</v>
      </c>
      <c r="I14" s="37" t="s">
        <v>83</v>
      </c>
      <c r="J14" s="46">
        <v>900</v>
      </c>
      <c r="K14" s="46">
        <f t="shared" si="0"/>
        <v>900</v>
      </c>
      <c r="L14" s="30"/>
      <c r="M14" s="31">
        <v>730</v>
      </c>
      <c r="N14" s="31">
        <f t="shared" si="1"/>
        <v>730</v>
      </c>
    </row>
    <row r="15" spans="1:17" s="16" customFormat="1" ht="12" customHeight="1" x14ac:dyDescent="0.25">
      <c r="A15" s="36">
        <v>3</v>
      </c>
      <c r="B15" s="37" t="s">
        <v>47</v>
      </c>
      <c r="C15" s="96" t="s">
        <v>113</v>
      </c>
      <c r="D15" s="96"/>
      <c r="E15" s="96"/>
      <c r="F15" s="96"/>
      <c r="G15" s="96"/>
      <c r="H15" s="45">
        <v>1</v>
      </c>
      <c r="I15" s="37" t="s">
        <v>83</v>
      </c>
      <c r="J15" s="46">
        <v>96</v>
      </c>
      <c r="K15" s="46">
        <f t="shared" si="0"/>
        <v>96</v>
      </c>
      <c r="L15" s="30"/>
      <c r="M15" s="31">
        <v>80</v>
      </c>
      <c r="N15" s="31">
        <f t="shared" si="1"/>
        <v>80</v>
      </c>
    </row>
    <row r="16" spans="1:17" s="16" customFormat="1" ht="12" customHeight="1" x14ac:dyDescent="0.25">
      <c r="A16" s="36">
        <v>4</v>
      </c>
      <c r="B16" s="37" t="s">
        <v>78</v>
      </c>
      <c r="C16" s="96" t="s">
        <v>64</v>
      </c>
      <c r="D16" s="96"/>
      <c r="E16" s="96"/>
      <c r="F16" s="96"/>
      <c r="G16" s="96"/>
      <c r="H16" s="45">
        <f>IF(ÖZELLİKLER!C16&gt;0,MROUND((ÖZELLİKLER!C16+1)*(ÖZELLİKLER!C17)*(ÖZELLİKLER!C22)*ÖZELLİKLER!D21+ÖZELLİKLER!C22,1),"")</f>
        <v>95</v>
      </c>
      <c r="I16" s="37" t="s">
        <v>85</v>
      </c>
      <c r="J16" s="46">
        <f>M16+M16*0.2</f>
        <v>11.988</v>
      </c>
      <c r="K16" s="46">
        <f t="shared" si="0"/>
        <v>1138.8599999999999</v>
      </c>
      <c r="L16" s="30"/>
      <c r="M16" s="31">
        <f>0.9*P16</f>
        <v>9.99</v>
      </c>
      <c r="N16" s="31">
        <f t="shared" si="1"/>
        <v>949.05000000000007</v>
      </c>
      <c r="O16" s="51" t="s">
        <v>124</v>
      </c>
      <c r="P16" s="50">
        <v>11.1</v>
      </c>
      <c r="Q16" s="50"/>
    </row>
    <row r="17" spans="1:17" s="16" customFormat="1" ht="12" customHeight="1" x14ac:dyDescent="0.25">
      <c r="A17" s="36">
        <v>5</v>
      </c>
      <c r="B17" s="37" t="s">
        <v>47</v>
      </c>
      <c r="C17" s="96" t="s">
        <v>114</v>
      </c>
      <c r="D17" s="96"/>
      <c r="E17" s="96"/>
      <c r="F17" s="96"/>
      <c r="G17" s="96"/>
      <c r="H17" s="45">
        <f>IF(ÖZELLİKLER!C16&gt;0,MROUND((ÖZELLİKLER!C16+1)*(ÖZELLİKLER!C17)*2+3,1),"")</f>
        <v>39</v>
      </c>
      <c r="I17" s="37" t="s">
        <v>85</v>
      </c>
      <c r="J17" s="46">
        <f>M17+M17*0.2</f>
        <v>5.3280000000000003</v>
      </c>
      <c r="K17" s="46">
        <f t="shared" si="0"/>
        <v>207.792</v>
      </c>
      <c r="L17" s="30"/>
      <c r="M17" s="31">
        <f>0.4*P17</f>
        <v>4.4400000000000004</v>
      </c>
      <c r="N17" s="31">
        <f t="shared" si="1"/>
        <v>173.16000000000003</v>
      </c>
      <c r="O17" s="51" t="s">
        <v>124</v>
      </c>
      <c r="P17" s="50">
        <v>11.1</v>
      </c>
      <c r="Q17" s="50"/>
    </row>
    <row r="18" spans="1:17" s="16" customFormat="1" ht="12" customHeight="1" x14ac:dyDescent="0.25">
      <c r="A18" s="36">
        <v>6</v>
      </c>
      <c r="B18" s="37" t="s">
        <v>47</v>
      </c>
      <c r="C18" s="96" t="s">
        <v>115</v>
      </c>
      <c r="D18" s="96"/>
      <c r="E18" s="96"/>
      <c r="F18" s="96"/>
      <c r="G18" s="96"/>
      <c r="H18" s="45">
        <f>I10*2</f>
        <v>10</v>
      </c>
      <c r="I18" s="37" t="s">
        <v>84</v>
      </c>
      <c r="J18" s="46">
        <v>33.5</v>
      </c>
      <c r="K18" s="46">
        <f t="shared" si="0"/>
        <v>335</v>
      </c>
      <c r="L18" s="30"/>
      <c r="M18" s="31">
        <v>28</v>
      </c>
      <c r="N18" s="31">
        <f t="shared" si="1"/>
        <v>280</v>
      </c>
    </row>
    <row r="19" spans="1:17" s="16" customFormat="1" ht="12" customHeight="1" x14ac:dyDescent="0.25">
      <c r="A19" s="36">
        <v>7</v>
      </c>
      <c r="B19" s="37" t="s">
        <v>47</v>
      </c>
      <c r="C19" s="96" t="s">
        <v>116</v>
      </c>
      <c r="D19" s="96"/>
      <c r="E19" s="96"/>
      <c r="F19" s="96"/>
      <c r="G19" s="96"/>
      <c r="H19" s="45">
        <f>H18*3</f>
        <v>30</v>
      </c>
      <c r="I19" s="37" t="s">
        <v>84</v>
      </c>
      <c r="J19" s="46">
        <v>2.95</v>
      </c>
      <c r="K19" s="46">
        <f t="shared" si="0"/>
        <v>88.5</v>
      </c>
      <c r="L19" s="30"/>
      <c r="M19" s="31">
        <v>2.2400000000000002</v>
      </c>
      <c r="N19" s="31">
        <f t="shared" si="1"/>
        <v>67.2</v>
      </c>
    </row>
    <row r="20" spans="1:17" s="16" customFormat="1" ht="12" customHeight="1" x14ac:dyDescent="0.25">
      <c r="A20" s="36">
        <v>8</v>
      </c>
      <c r="B20" s="37" t="s">
        <v>47</v>
      </c>
      <c r="C20" s="96" t="s">
        <v>117</v>
      </c>
      <c r="D20" s="96"/>
      <c r="E20" s="96"/>
      <c r="F20" s="96"/>
      <c r="G20" s="96"/>
      <c r="H20" s="45">
        <v>6</v>
      </c>
      <c r="I20" s="37" t="s">
        <v>84</v>
      </c>
      <c r="J20" s="46">
        <v>1.1000000000000001</v>
      </c>
      <c r="K20" s="46">
        <f t="shared" si="0"/>
        <v>6.6000000000000005</v>
      </c>
      <c r="L20" s="30"/>
      <c r="M20" s="31">
        <v>0.8</v>
      </c>
      <c r="N20" s="31">
        <f t="shared" si="1"/>
        <v>4.8000000000000007</v>
      </c>
    </row>
    <row r="21" spans="1:17" s="16" customFormat="1" ht="12" customHeight="1" x14ac:dyDescent="0.2">
      <c r="A21" s="36">
        <v>9</v>
      </c>
      <c r="B21" s="37" t="s">
        <v>47</v>
      </c>
      <c r="C21" s="97" t="s">
        <v>118</v>
      </c>
      <c r="D21" s="97"/>
      <c r="E21" s="97"/>
      <c r="F21" s="97"/>
      <c r="G21" s="97"/>
      <c r="H21" s="38">
        <v>2</v>
      </c>
      <c r="I21" s="37" t="s">
        <v>84</v>
      </c>
      <c r="J21" s="40">
        <v>5</v>
      </c>
      <c r="K21" s="40">
        <f t="shared" si="0"/>
        <v>10</v>
      </c>
      <c r="L21" s="32"/>
      <c r="M21" s="31">
        <v>3.5</v>
      </c>
      <c r="N21" s="33">
        <f t="shared" si="1"/>
        <v>7</v>
      </c>
      <c r="P21" s="85" t="s">
        <v>122</v>
      </c>
      <c r="Q21" s="85" t="s">
        <v>123</v>
      </c>
    </row>
    <row r="22" spans="1:17" s="16" customFormat="1" ht="24" customHeight="1" x14ac:dyDescent="0.25">
      <c r="A22" s="36">
        <v>10</v>
      </c>
      <c r="B22" s="37" t="s">
        <v>47</v>
      </c>
      <c r="C22" s="104" t="s">
        <v>126</v>
      </c>
      <c r="D22" s="104"/>
      <c r="E22" s="104"/>
      <c r="F22" s="104"/>
      <c r="G22" s="104"/>
      <c r="H22" s="45">
        <f>G7/G7</f>
        <v>1</v>
      </c>
      <c r="I22" s="37" t="s">
        <v>83</v>
      </c>
      <c r="J22" s="46">
        <f>MROUND((M22/P22)*Q22,50)</f>
        <v>15500</v>
      </c>
      <c r="K22" s="46">
        <f t="shared" si="0"/>
        <v>15500</v>
      </c>
      <c r="L22" s="30"/>
      <c r="M22" s="31">
        <f>1383*P22</f>
        <v>14659.8</v>
      </c>
      <c r="N22" s="31">
        <f t="shared" ref="N22:N63" si="2">H22*M22</f>
        <v>14659.8</v>
      </c>
      <c r="O22" s="51" t="s">
        <v>124</v>
      </c>
      <c r="P22" s="50">
        <v>10.6</v>
      </c>
      <c r="Q22" s="50">
        <v>11.2</v>
      </c>
    </row>
    <row r="23" spans="1:17" s="16" customFormat="1" ht="12" customHeight="1" x14ac:dyDescent="0.25">
      <c r="A23" s="36">
        <v>11</v>
      </c>
      <c r="B23" s="37" t="s">
        <v>47</v>
      </c>
      <c r="C23" s="96" t="s">
        <v>56</v>
      </c>
      <c r="D23" s="96"/>
      <c r="E23" s="96"/>
      <c r="F23" s="96"/>
      <c r="G23" s="96"/>
      <c r="H23" s="45">
        <v>1</v>
      </c>
      <c r="I23" s="37" t="s">
        <v>83</v>
      </c>
      <c r="J23" s="46">
        <f>MROUND((M23/P23)*Q23,50)</f>
        <v>1700</v>
      </c>
      <c r="K23" s="46">
        <f t="shared" si="0"/>
        <v>1700</v>
      </c>
      <c r="L23" s="30"/>
      <c r="M23" s="31">
        <f>150*P23</f>
        <v>1590</v>
      </c>
      <c r="N23" s="31">
        <f>H23*M23</f>
        <v>1590</v>
      </c>
      <c r="O23" s="51" t="s">
        <v>124</v>
      </c>
      <c r="P23" s="50">
        <v>10.6</v>
      </c>
      <c r="Q23" s="50">
        <v>11.2</v>
      </c>
    </row>
    <row r="24" spans="1:17" s="16" customFormat="1" ht="12" customHeight="1" x14ac:dyDescent="0.25">
      <c r="A24" s="36">
        <v>12</v>
      </c>
      <c r="B24" s="37" t="s">
        <v>47</v>
      </c>
      <c r="C24" s="96" t="s">
        <v>137</v>
      </c>
      <c r="D24" s="96"/>
      <c r="E24" s="96"/>
      <c r="F24" s="96"/>
      <c r="G24" s="96"/>
      <c r="H24" s="37">
        <f>(ÖZELLİKLER!C19/2+ÖZELLİKLER!C27)/25</f>
        <v>40</v>
      </c>
      <c r="I24" s="37" t="s">
        <v>84</v>
      </c>
      <c r="J24" s="46">
        <v>30</v>
      </c>
      <c r="K24" s="46">
        <f t="shared" si="0"/>
        <v>1200</v>
      </c>
      <c r="L24" s="30"/>
      <c r="M24" s="31">
        <v>25</v>
      </c>
      <c r="N24" s="31">
        <f>H24*M24</f>
        <v>1000</v>
      </c>
    </row>
    <row r="25" spans="1:17" s="16" customFormat="1" ht="12" customHeight="1" x14ac:dyDescent="0.2">
      <c r="A25" s="36">
        <v>13</v>
      </c>
      <c r="B25" s="37" t="s">
        <v>47</v>
      </c>
      <c r="C25" s="96" t="s">
        <v>133</v>
      </c>
      <c r="D25" s="96"/>
      <c r="E25" s="96"/>
      <c r="F25" s="96"/>
      <c r="G25" s="96"/>
      <c r="H25" s="45">
        <f>G7/G7</f>
        <v>1</v>
      </c>
      <c r="I25" s="37" t="s">
        <v>84</v>
      </c>
      <c r="J25" s="46">
        <f>MROUND(M25+(M25*0.2),5)</f>
        <v>590</v>
      </c>
      <c r="K25" s="46">
        <f t="shared" si="0"/>
        <v>590</v>
      </c>
      <c r="L25" s="30"/>
      <c r="M25" s="31">
        <v>491</v>
      </c>
      <c r="N25" s="31">
        <f>H25*M25</f>
        <v>491</v>
      </c>
      <c r="P25" s="85" t="s">
        <v>122</v>
      </c>
      <c r="Q25" s="85"/>
    </row>
    <row r="26" spans="1:17" s="16" customFormat="1" ht="12" customHeight="1" x14ac:dyDescent="0.25">
      <c r="A26" s="36">
        <v>14</v>
      </c>
      <c r="B26" s="47" t="s">
        <v>131</v>
      </c>
      <c r="C26" s="96" t="s">
        <v>128</v>
      </c>
      <c r="D26" s="96"/>
      <c r="E26" s="96"/>
      <c r="F26" s="96"/>
      <c r="G26" s="96"/>
      <c r="H26" s="45">
        <f>G7*1</f>
        <v>5</v>
      </c>
      <c r="I26" s="37" t="s">
        <v>84</v>
      </c>
      <c r="J26" s="46">
        <f>MROUND(M26+150,50)</f>
        <v>2550</v>
      </c>
      <c r="K26" s="46">
        <f t="shared" ref="K26:K63" si="3">H26*J26</f>
        <v>12750</v>
      </c>
      <c r="L26" s="30"/>
      <c r="M26" s="31">
        <f>P26*215+30</f>
        <v>2416.5</v>
      </c>
      <c r="N26" s="31">
        <f t="shared" si="2"/>
        <v>12082.5</v>
      </c>
      <c r="O26" s="51" t="s">
        <v>124</v>
      </c>
      <c r="P26" s="50">
        <v>11.1</v>
      </c>
      <c r="Q26" s="50"/>
    </row>
    <row r="27" spans="1:17" s="16" customFormat="1" ht="12" customHeight="1" x14ac:dyDescent="0.25">
      <c r="A27" s="36">
        <v>15</v>
      </c>
      <c r="B27" s="47" t="s">
        <v>131</v>
      </c>
      <c r="C27" s="96" t="s">
        <v>129</v>
      </c>
      <c r="D27" s="96"/>
      <c r="E27" s="96"/>
      <c r="F27" s="96"/>
      <c r="G27" s="96"/>
      <c r="H27" s="45">
        <f>G7/G7</f>
        <v>1</v>
      </c>
      <c r="I27" s="37" t="s">
        <v>84</v>
      </c>
      <c r="J27" s="46">
        <f>MROUND(M27+150,50)</f>
        <v>4350</v>
      </c>
      <c r="K27" s="46">
        <f t="shared" si="3"/>
        <v>4350</v>
      </c>
      <c r="L27" s="30"/>
      <c r="M27" s="31">
        <f>P27*376+30</f>
        <v>4203.5999999999995</v>
      </c>
      <c r="N27" s="31">
        <f t="shared" si="2"/>
        <v>4203.5999999999995</v>
      </c>
      <c r="O27" s="51" t="s">
        <v>124</v>
      </c>
      <c r="P27" s="50">
        <v>11.1</v>
      </c>
      <c r="Q27" s="50"/>
    </row>
    <row r="28" spans="1:17" s="16" customFormat="1" ht="12" customHeight="1" x14ac:dyDescent="0.25">
      <c r="A28" s="36">
        <v>16</v>
      </c>
      <c r="B28" s="37" t="s">
        <v>46</v>
      </c>
      <c r="C28" s="96" t="s">
        <v>80</v>
      </c>
      <c r="D28" s="96"/>
      <c r="E28" s="96"/>
      <c r="F28" s="96"/>
      <c r="G28" s="96"/>
      <c r="H28" s="45">
        <f>MROUND((ÖZELLİKLER!$C$16+1)*ÖZELLİKLER!$C$17*2,5)</f>
        <v>35</v>
      </c>
      <c r="I28" s="37" t="s">
        <v>85</v>
      </c>
      <c r="J28" s="46">
        <v>153.72</v>
      </c>
      <c r="K28" s="46">
        <f>H28*J28</f>
        <v>5380.2</v>
      </c>
      <c r="L28" s="30"/>
      <c r="M28" s="31">
        <v>143.05000000000001</v>
      </c>
      <c r="N28" s="31">
        <f t="shared" si="2"/>
        <v>5006.75</v>
      </c>
      <c r="O28" s="51"/>
      <c r="P28" s="50"/>
      <c r="Q28" s="50"/>
    </row>
    <row r="29" spans="1:17" s="16" customFormat="1" ht="12" customHeight="1" x14ac:dyDescent="0.25">
      <c r="A29" s="36">
        <v>17</v>
      </c>
      <c r="B29" s="37" t="s">
        <v>46</v>
      </c>
      <c r="C29" s="96" t="s">
        <v>79</v>
      </c>
      <c r="D29" s="96"/>
      <c r="E29" s="96"/>
      <c r="F29" s="96"/>
      <c r="G29" s="96"/>
      <c r="H29" s="45">
        <f>MROUND((ÖZELLİKLER!$C$16+1)*ÖZELLİKLER!$C$17*2,5)</f>
        <v>35</v>
      </c>
      <c r="I29" s="37" t="s">
        <v>85</v>
      </c>
      <c r="J29" s="46">
        <v>49.9</v>
      </c>
      <c r="K29" s="46">
        <f t="shared" si="3"/>
        <v>1746.5</v>
      </c>
      <c r="L29" s="30"/>
      <c r="M29" s="31">
        <v>46.44</v>
      </c>
      <c r="N29" s="31">
        <f t="shared" si="2"/>
        <v>1625.3999999999999</v>
      </c>
    </row>
    <row r="30" spans="1:17" s="16" customFormat="1" ht="12" customHeight="1" x14ac:dyDescent="0.25">
      <c r="A30" s="36">
        <v>18</v>
      </c>
      <c r="B30" s="37" t="s">
        <v>46</v>
      </c>
      <c r="C30" s="96" t="s">
        <v>81</v>
      </c>
      <c r="D30" s="96"/>
      <c r="E30" s="96"/>
      <c r="F30" s="96"/>
      <c r="G30" s="96"/>
      <c r="H30" s="45">
        <f>(H28/5)-1</f>
        <v>6</v>
      </c>
      <c r="I30" s="37" t="s">
        <v>84</v>
      </c>
      <c r="J30" s="46">
        <v>44.1</v>
      </c>
      <c r="K30" s="46">
        <f t="shared" si="3"/>
        <v>264.60000000000002</v>
      </c>
      <c r="L30" s="30"/>
      <c r="M30" s="31">
        <v>41.04</v>
      </c>
      <c r="N30" s="31">
        <f t="shared" si="2"/>
        <v>246.24</v>
      </c>
    </row>
    <row r="31" spans="1:17" s="16" customFormat="1" ht="12" customHeight="1" x14ac:dyDescent="0.25">
      <c r="A31" s="36">
        <v>19</v>
      </c>
      <c r="B31" s="37" t="s">
        <v>46</v>
      </c>
      <c r="C31" s="96" t="s">
        <v>82</v>
      </c>
      <c r="D31" s="96"/>
      <c r="E31" s="96"/>
      <c r="F31" s="96"/>
      <c r="G31" s="96"/>
      <c r="H31" s="45">
        <f>(H29/5)-1</f>
        <v>6</v>
      </c>
      <c r="I31" s="37" t="s">
        <v>84</v>
      </c>
      <c r="J31" s="46">
        <v>12.32</v>
      </c>
      <c r="K31" s="46">
        <f t="shared" si="3"/>
        <v>73.92</v>
      </c>
      <c r="L31" s="30"/>
      <c r="M31" s="31">
        <v>11.46</v>
      </c>
      <c r="N31" s="31">
        <f t="shared" si="2"/>
        <v>68.760000000000005</v>
      </c>
    </row>
    <row r="32" spans="1:17" s="16" customFormat="1" ht="12" customHeight="1" x14ac:dyDescent="0.25">
      <c r="A32" s="36">
        <v>20</v>
      </c>
      <c r="B32" s="37" t="s">
        <v>47</v>
      </c>
      <c r="C32" s="96" t="s">
        <v>58</v>
      </c>
      <c r="D32" s="96"/>
      <c r="E32" s="96"/>
      <c r="F32" s="96"/>
      <c r="G32" s="96"/>
      <c r="H32" s="45">
        <f>(((((G7-1)*G8)+6))/1.5)*2</f>
        <v>24</v>
      </c>
      <c r="I32" s="37" t="s">
        <v>83</v>
      </c>
      <c r="J32" s="46">
        <v>26.5</v>
      </c>
      <c r="K32" s="46">
        <f t="shared" si="3"/>
        <v>636</v>
      </c>
      <c r="L32" s="30"/>
      <c r="M32" s="31">
        <v>22</v>
      </c>
      <c r="N32" s="31">
        <f t="shared" si="2"/>
        <v>528</v>
      </c>
    </row>
    <row r="33" spans="1:16" s="16" customFormat="1" ht="12" customHeight="1" x14ac:dyDescent="0.25">
      <c r="A33" s="36">
        <v>21</v>
      </c>
      <c r="B33" s="37" t="s">
        <v>47</v>
      </c>
      <c r="C33" s="96" t="s">
        <v>63</v>
      </c>
      <c r="D33" s="96"/>
      <c r="E33" s="96"/>
      <c r="F33" s="96"/>
      <c r="G33" s="96"/>
      <c r="H33" s="45">
        <f>H32</f>
        <v>24</v>
      </c>
      <c r="I33" s="37" t="s">
        <v>83</v>
      </c>
      <c r="J33" s="46">
        <v>19.5</v>
      </c>
      <c r="K33" s="46">
        <f t="shared" si="3"/>
        <v>468</v>
      </c>
      <c r="L33" s="30"/>
      <c r="M33" s="31">
        <v>16</v>
      </c>
      <c r="N33" s="31">
        <f t="shared" si="2"/>
        <v>384</v>
      </c>
    </row>
    <row r="34" spans="1:16" s="16" customFormat="1" ht="12" customHeight="1" x14ac:dyDescent="0.25">
      <c r="A34" s="36">
        <v>22</v>
      </c>
      <c r="B34" s="37" t="s">
        <v>47</v>
      </c>
      <c r="C34" s="96" t="s">
        <v>54</v>
      </c>
      <c r="D34" s="96"/>
      <c r="E34" s="96"/>
      <c r="F34" s="96"/>
      <c r="G34" s="96"/>
      <c r="H34" s="45">
        <f>IF(ÖZELLİKLER!C16&gt;0,(ÖZELLİKLER!C16+1)*ÖZELLİKLER!C17/1.5*8,"")</f>
        <v>96</v>
      </c>
      <c r="I34" s="37" t="s">
        <v>84</v>
      </c>
      <c r="J34" s="46">
        <v>3.2</v>
      </c>
      <c r="K34" s="46">
        <f t="shared" si="3"/>
        <v>307.20000000000005</v>
      </c>
      <c r="L34" s="30"/>
      <c r="M34" s="31">
        <v>2.65</v>
      </c>
      <c r="N34" s="31">
        <f t="shared" si="2"/>
        <v>254.39999999999998</v>
      </c>
    </row>
    <row r="35" spans="1:16" s="16" customFormat="1" ht="12" customHeight="1" x14ac:dyDescent="0.25">
      <c r="A35" s="36">
        <v>23</v>
      </c>
      <c r="B35" s="37" t="s">
        <v>47</v>
      </c>
      <c r="C35" s="96" t="s">
        <v>138</v>
      </c>
      <c r="D35" s="96"/>
      <c r="E35" s="96"/>
      <c r="F35" s="96"/>
      <c r="G35" s="96"/>
      <c r="H35" s="45">
        <f>IF(ÖZELLİKLER!C16&gt;0,(ÖZELLİKLER!C16+1)*ÖZELLİKLER!C17/1.5*8,"")/2</f>
        <v>48</v>
      </c>
      <c r="I35" s="37" t="s">
        <v>84</v>
      </c>
      <c r="J35" s="46">
        <v>3.2</v>
      </c>
      <c r="K35" s="46">
        <f t="shared" si="3"/>
        <v>153.60000000000002</v>
      </c>
      <c r="L35" s="30"/>
      <c r="M35" s="31">
        <v>2.4</v>
      </c>
      <c r="N35" s="31">
        <f t="shared" si="2"/>
        <v>115.19999999999999</v>
      </c>
    </row>
    <row r="36" spans="1:16" s="16" customFormat="1" ht="12" customHeight="1" x14ac:dyDescent="0.25">
      <c r="A36" s="36">
        <v>24</v>
      </c>
      <c r="B36" s="37" t="s">
        <v>47</v>
      </c>
      <c r="C36" s="96" t="s">
        <v>139</v>
      </c>
      <c r="D36" s="96"/>
      <c r="E36" s="96"/>
      <c r="F36" s="96"/>
      <c r="G36" s="96"/>
      <c r="H36" s="45">
        <f>H35</f>
        <v>48</v>
      </c>
      <c r="I36" s="37" t="s">
        <v>84</v>
      </c>
      <c r="J36" s="46">
        <v>4.5999999999999996</v>
      </c>
      <c r="K36" s="46">
        <f t="shared" si="3"/>
        <v>220.79999999999998</v>
      </c>
      <c r="L36" s="30"/>
      <c r="M36" s="31">
        <v>3.85</v>
      </c>
      <c r="N36" s="31">
        <f t="shared" si="2"/>
        <v>184.8</v>
      </c>
    </row>
    <row r="37" spans="1:16" s="16" customFormat="1" ht="12" customHeight="1" x14ac:dyDescent="0.25">
      <c r="A37" s="36">
        <v>25</v>
      </c>
      <c r="B37" s="37" t="s">
        <v>47</v>
      </c>
      <c r="C37" s="96" t="s">
        <v>62</v>
      </c>
      <c r="D37" s="96"/>
      <c r="E37" s="96"/>
      <c r="F37" s="96"/>
      <c r="G37" s="96"/>
      <c r="H37" s="45">
        <f>H30*8</f>
        <v>48</v>
      </c>
      <c r="I37" s="37" t="s">
        <v>83</v>
      </c>
      <c r="J37" s="46">
        <v>2.2000000000000002</v>
      </c>
      <c r="K37" s="46">
        <f t="shared" si="3"/>
        <v>105.60000000000001</v>
      </c>
      <c r="L37" s="30"/>
      <c r="M37" s="31">
        <v>1.62</v>
      </c>
      <c r="N37" s="31">
        <f t="shared" si="2"/>
        <v>77.760000000000005</v>
      </c>
    </row>
    <row r="38" spans="1:16" s="16" customFormat="1" ht="12" customHeight="1" x14ac:dyDescent="0.25">
      <c r="A38" s="36">
        <v>26</v>
      </c>
      <c r="B38" s="37" t="s">
        <v>47</v>
      </c>
      <c r="C38" s="96" t="s">
        <v>18</v>
      </c>
      <c r="D38" s="96"/>
      <c r="E38" s="96"/>
      <c r="F38" s="96"/>
      <c r="G38" s="96"/>
      <c r="H38" s="45">
        <f>H31*8</f>
        <v>48</v>
      </c>
      <c r="I38" s="37" t="s">
        <v>83</v>
      </c>
      <c r="J38" s="46">
        <v>1</v>
      </c>
      <c r="K38" s="46">
        <f t="shared" si="3"/>
        <v>48</v>
      </c>
      <c r="L38" s="30"/>
      <c r="M38" s="31">
        <v>0.55000000000000004</v>
      </c>
      <c r="N38" s="31">
        <f t="shared" si="2"/>
        <v>26.400000000000002</v>
      </c>
    </row>
    <row r="39" spans="1:16" s="16" customFormat="1" ht="12" customHeight="1" x14ac:dyDescent="0.25">
      <c r="A39" s="36">
        <v>27</v>
      </c>
      <c r="B39" s="37" t="s">
        <v>47</v>
      </c>
      <c r="C39" s="96" t="s">
        <v>57</v>
      </c>
      <c r="D39" s="96"/>
      <c r="E39" s="96"/>
      <c r="F39" s="96"/>
      <c r="G39" s="96"/>
      <c r="H39" s="45">
        <f>H32*4</f>
        <v>96</v>
      </c>
      <c r="I39" s="37" t="s">
        <v>84</v>
      </c>
      <c r="J39" s="46">
        <v>2.2000000000000002</v>
      </c>
      <c r="K39" s="46">
        <f t="shared" si="3"/>
        <v>211.20000000000002</v>
      </c>
      <c r="L39" s="30"/>
      <c r="M39" s="31">
        <v>1.62</v>
      </c>
      <c r="N39" s="31">
        <f t="shared" si="2"/>
        <v>155.52000000000001</v>
      </c>
    </row>
    <row r="40" spans="1:16" s="16" customFormat="1" ht="24" customHeight="1" x14ac:dyDescent="0.25">
      <c r="A40" s="36">
        <v>28</v>
      </c>
      <c r="B40" s="47" t="s">
        <v>108</v>
      </c>
      <c r="C40" s="104" t="s">
        <v>127</v>
      </c>
      <c r="D40" s="104"/>
      <c r="E40" s="104"/>
      <c r="F40" s="104"/>
      <c r="G40" s="104"/>
      <c r="H40" s="45">
        <f>G7/G7</f>
        <v>1</v>
      </c>
      <c r="I40" s="37" t="s">
        <v>83</v>
      </c>
      <c r="J40" s="46">
        <f>M40+350</f>
        <v>6050</v>
      </c>
      <c r="K40" s="46">
        <f t="shared" ref="K40:K59" si="4">H40*J40</f>
        <v>6050</v>
      </c>
      <c r="L40" s="30"/>
      <c r="M40" s="31">
        <v>5700</v>
      </c>
      <c r="N40" s="31">
        <f t="shared" ref="N40:N45" si="5">H40*M40</f>
        <v>5700</v>
      </c>
      <c r="O40" s="29"/>
      <c r="P40" s="28"/>
    </row>
    <row r="41" spans="1:16" s="16" customFormat="1" ht="12" customHeight="1" x14ac:dyDescent="0.25">
      <c r="A41" s="36">
        <v>29</v>
      </c>
      <c r="B41" s="47" t="s">
        <v>108</v>
      </c>
      <c r="C41" s="96" t="s">
        <v>142</v>
      </c>
      <c r="D41" s="96"/>
      <c r="E41" s="96"/>
      <c r="F41" s="96"/>
      <c r="G41" s="96"/>
      <c r="H41" s="37">
        <v>1</v>
      </c>
      <c r="I41" s="37" t="s">
        <v>84</v>
      </c>
      <c r="J41" s="46">
        <v>0</v>
      </c>
      <c r="K41" s="46">
        <f t="shared" si="4"/>
        <v>0</v>
      </c>
      <c r="L41" s="30"/>
      <c r="M41" s="31">
        <v>0</v>
      </c>
      <c r="N41" s="31">
        <f t="shared" si="5"/>
        <v>0</v>
      </c>
    </row>
    <row r="42" spans="1:16" s="16" customFormat="1" ht="12" customHeight="1" x14ac:dyDescent="0.25">
      <c r="A42" s="36">
        <v>30</v>
      </c>
      <c r="B42" s="47" t="s">
        <v>108</v>
      </c>
      <c r="C42" s="96" t="s">
        <v>86</v>
      </c>
      <c r="D42" s="96"/>
      <c r="E42" s="96"/>
      <c r="F42" s="96"/>
      <c r="G42" s="96"/>
      <c r="H42" s="37">
        <v>1</v>
      </c>
      <c r="I42" s="37" t="s">
        <v>84</v>
      </c>
      <c r="J42" s="46">
        <v>0</v>
      </c>
      <c r="K42" s="46">
        <f t="shared" si="4"/>
        <v>0</v>
      </c>
      <c r="L42" s="30"/>
      <c r="M42" s="31">
        <v>0</v>
      </c>
      <c r="N42" s="31">
        <f t="shared" si="5"/>
        <v>0</v>
      </c>
    </row>
    <row r="43" spans="1:16" s="16" customFormat="1" ht="12" customHeight="1" x14ac:dyDescent="0.25">
      <c r="A43" s="36">
        <v>31</v>
      </c>
      <c r="B43" s="47" t="s">
        <v>47</v>
      </c>
      <c r="C43" s="96" t="s">
        <v>66</v>
      </c>
      <c r="D43" s="96"/>
      <c r="E43" s="96"/>
      <c r="F43" s="96"/>
      <c r="G43" s="96"/>
      <c r="H43" s="37">
        <v>1</v>
      </c>
      <c r="I43" s="37" t="s">
        <v>84</v>
      </c>
      <c r="J43" s="46">
        <v>510</v>
      </c>
      <c r="K43" s="46">
        <f t="shared" si="4"/>
        <v>510</v>
      </c>
      <c r="L43" s="30"/>
      <c r="M43" s="31">
        <v>425</v>
      </c>
      <c r="N43" s="31">
        <f t="shared" si="5"/>
        <v>425</v>
      </c>
    </row>
    <row r="44" spans="1:16" s="16" customFormat="1" ht="12" customHeight="1" x14ac:dyDescent="0.25">
      <c r="A44" s="36">
        <v>32</v>
      </c>
      <c r="B44" s="37" t="s">
        <v>76</v>
      </c>
      <c r="C44" s="96" t="s">
        <v>59</v>
      </c>
      <c r="D44" s="96"/>
      <c r="E44" s="96"/>
      <c r="F44" s="96"/>
      <c r="G44" s="96"/>
      <c r="H44" s="37">
        <f>G7</f>
        <v>5</v>
      </c>
      <c r="I44" s="37" t="s">
        <v>84</v>
      </c>
      <c r="J44" s="46">
        <v>96</v>
      </c>
      <c r="K44" s="46">
        <f t="shared" si="4"/>
        <v>480</v>
      </c>
      <c r="L44" s="30"/>
      <c r="M44" s="31">
        <v>80</v>
      </c>
      <c r="N44" s="31">
        <f t="shared" si="5"/>
        <v>400</v>
      </c>
    </row>
    <row r="45" spans="1:16" s="16" customFormat="1" ht="12" customHeight="1" x14ac:dyDescent="0.25">
      <c r="A45" s="36">
        <v>33</v>
      </c>
      <c r="B45" s="37" t="s">
        <v>76</v>
      </c>
      <c r="C45" s="96" t="s">
        <v>130</v>
      </c>
      <c r="D45" s="96"/>
      <c r="E45" s="96"/>
      <c r="F45" s="96"/>
      <c r="G45" s="96"/>
      <c r="H45" s="37">
        <v>1</v>
      </c>
      <c r="I45" s="37" t="s">
        <v>84</v>
      </c>
      <c r="J45" s="46">
        <v>1025</v>
      </c>
      <c r="K45" s="46">
        <f t="shared" si="4"/>
        <v>1025</v>
      </c>
      <c r="L45" s="30"/>
      <c r="M45" s="31">
        <v>855</v>
      </c>
      <c r="N45" s="31">
        <f t="shared" si="5"/>
        <v>855</v>
      </c>
      <c r="O45" s="16" t="s">
        <v>106</v>
      </c>
    </row>
    <row r="46" spans="1:16" s="16" customFormat="1" ht="12" customHeight="1" x14ac:dyDescent="0.25">
      <c r="A46" s="36">
        <v>34</v>
      </c>
      <c r="B46" s="37" t="s">
        <v>47</v>
      </c>
      <c r="C46" s="96" t="s">
        <v>135</v>
      </c>
      <c r="D46" s="96"/>
      <c r="E46" s="96"/>
      <c r="F46" s="96"/>
      <c r="G46" s="96"/>
      <c r="H46" s="37">
        <f>5*100</f>
        <v>500</v>
      </c>
      <c r="I46" s="37" t="s">
        <v>85</v>
      </c>
      <c r="J46" s="46">
        <v>0.95</v>
      </c>
      <c r="K46" s="46">
        <f t="shared" si="4"/>
        <v>475</v>
      </c>
      <c r="L46" s="30"/>
      <c r="M46" s="31">
        <v>0.71</v>
      </c>
      <c r="N46" s="31">
        <f t="shared" ref="N46:N48" si="6">H46*M46</f>
        <v>355</v>
      </c>
    </row>
    <row r="47" spans="1:16" s="16" customFormat="1" ht="12" customHeight="1" x14ac:dyDescent="0.25">
      <c r="A47" s="36">
        <v>35</v>
      </c>
      <c r="B47" s="37" t="s">
        <v>47</v>
      </c>
      <c r="C47" s="96" t="s">
        <v>45</v>
      </c>
      <c r="D47" s="96"/>
      <c r="E47" s="96"/>
      <c r="F47" s="96"/>
      <c r="G47" s="96"/>
      <c r="H47" s="45">
        <v>100</v>
      </c>
      <c r="I47" s="37" t="s">
        <v>85</v>
      </c>
      <c r="J47" s="46">
        <v>5.95</v>
      </c>
      <c r="K47" s="46">
        <f t="shared" si="4"/>
        <v>595</v>
      </c>
      <c r="L47" s="30"/>
      <c r="M47" s="31">
        <v>4.5</v>
      </c>
      <c r="N47" s="31">
        <f t="shared" si="6"/>
        <v>450</v>
      </c>
    </row>
    <row r="48" spans="1:16" s="16" customFormat="1" ht="12" customHeight="1" x14ac:dyDescent="0.25">
      <c r="A48" s="36">
        <v>36</v>
      </c>
      <c r="B48" s="37" t="s">
        <v>47</v>
      </c>
      <c r="C48" s="96" t="s">
        <v>19</v>
      </c>
      <c r="D48" s="96"/>
      <c r="E48" s="96"/>
      <c r="F48" s="96"/>
      <c r="G48" s="96"/>
      <c r="H48" s="45">
        <v>100</v>
      </c>
      <c r="I48" s="37" t="s">
        <v>85</v>
      </c>
      <c r="J48" s="46">
        <v>5.45</v>
      </c>
      <c r="K48" s="46">
        <f t="shared" si="4"/>
        <v>545</v>
      </c>
      <c r="L48" s="30"/>
      <c r="M48" s="31">
        <v>4.0999999999999996</v>
      </c>
      <c r="N48" s="31">
        <f t="shared" si="6"/>
        <v>409.99999999999994</v>
      </c>
    </row>
    <row r="49" spans="1:14" s="16" customFormat="1" ht="12" customHeight="1" x14ac:dyDescent="0.25">
      <c r="A49" s="36">
        <v>37</v>
      </c>
      <c r="B49" s="37" t="s">
        <v>47</v>
      </c>
      <c r="C49" s="96" t="s">
        <v>140</v>
      </c>
      <c r="D49" s="96"/>
      <c r="E49" s="96"/>
      <c r="F49" s="96"/>
      <c r="G49" s="96"/>
      <c r="H49" s="45">
        <f>IF(ÖZELLİKLER!C16&gt;0,(ÖZELLİKLER!C16+1)*ÖZELLİKLER!C17+10,"")</f>
        <v>28</v>
      </c>
      <c r="I49" s="37" t="s">
        <v>85</v>
      </c>
      <c r="J49" s="46">
        <v>48</v>
      </c>
      <c r="K49" s="46">
        <f t="shared" si="4"/>
        <v>1344</v>
      </c>
      <c r="L49" s="30"/>
      <c r="M49" s="31">
        <v>36.299999999999997</v>
      </c>
      <c r="N49" s="31">
        <f t="shared" ref="N49:N59" si="7">H49*M49</f>
        <v>1016.3999999999999</v>
      </c>
    </row>
    <row r="50" spans="1:14" s="16" customFormat="1" ht="12" customHeight="1" x14ac:dyDescent="0.25">
      <c r="A50" s="36">
        <v>38</v>
      </c>
      <c r="B50" s="37" t="s">
        <v>47</v>
      </c>
      <c r="C50" s="96" t="s">
        <v>65</v>
      </c>
      <c r="D50" s="96"/>
      <c r="E50" s="96"/>
      <c r="F50" s="96"/>
      <c r="G50" s="96"/>
      <c r="H50" s="45">
        <v>3</v>
      </c>
      <c r="I50" s="37" t="s">
        <v>84</v>
      </c>
      <c r="J50" s="46">
        <v>12</v>
      </c>
      <c r="K50" s="46">
        <f t="shared" si="4"/>
        <v>36</v>
      </c>
      <c r="L50" s="30"/>
      <c r="M50" s="31">
        <v>8.5</v>
      </c>
      <c r="N50" s="31">
        <f t="shared" si="7"/>
        <v>25.5</v>
      </c>
    </row>
    <row r="51" spans="1:14" s="16" customFormat="1" ht="12" customHeight="1" x14ac:dyDescent="0.25">
      <c r="A51" s="36">
        <v>39</v>
      </c>
      <c r="B51" s="37" t="s">
        <v>47</v>
      </c>
      <c r="C51" s="96" t="s">
        <v>21</v>
      </c>
      <c r="D51" s="96"/>
      <c r="E51" s="96"/>
      <c r="F51" s="96"/>
      <c r="G51" s="96"/>
      <c r="H51" s="45">
        <f>MROUND((ÖZELLİKLER!C16+1)*ÖZELLİKLER!C17+10,3)</f>
        <v>27</v>
      </c>
      <c r="I51" s="37" t="s">
        <v>85</v>
      </c>
      <c r="J51" s="46">
        <v>6.4</v>
      </c>
      <c r="K51" s="46">
        <f t="shared" si="4"/>
        <v>172.8</v>
      </c>
      <c r="L51" s="30"/>
      <c r="M51" s="31">
        <v>5.35</v>
      </c>
      <c r="N51" s="31">
        <f t="shared" si="7"/>
        <v>144.44999999999999</v>
      </c>
    </row>
    <row r="52" spans="1:14" s="16" customFormat="1" ht="12" customHeight="1" x14ac:dyDescent="0.25">
      <c r="A52" s="36">
        <v>40</v>
      </c>
      <c r="B52" s="37" t="s">
        <v>47</v>
      </c>
      <c r="C52" s="96" t="s">
        <v>134</v>
      </c>
      <c r="D52" s="96"/>
      <c r="E52" s="96"/>
      <c r="F52" s="96"/>
      <c r="G52" s="96"/>
      <c r="H52" s="45">
        <v>1</v>
      </c>
      <c r="I52" s="37" t="s">
        <v>83</v>
      </c>
      <c r="J52" s="46">
        <v>85</v>
      </c>
      <c r="K52" s="46">
        <f t="shared" si="4"/>
        <v>85</v>
      </c>
      <c r="L52" s="30"/>
      <c r="M52" s="31">
        <v>65</v>
      </c>
      <c r="N52" s="31">
        <f t="shared" si="7"/>
        <v>65</v>
      </c>
    </row>
    <row r="53" spans="1:14" s="16" customFormat="1" ht="12" customHeight="1" x14ac:dyDescent="0.25">
      <c r="A53" s="36">
        <v>41</v>
      </c>
      <c r="B53" s="37" t="s">
        <v>47</v>
      </c>
      <c r="C53" s="96" t="s">
        <v>20</v>
      </c>
      <c r="D53" s="96"/>
      <c r="E53" s="96"/>
      <c r="F53" s="96"/>
      <c r="G53" s="96"/>
      <c r="H53" s="45">
        <f>IF(ÖZELLİKLER!C16&lt;=5,50,100)</f>
        <v>50</v>
      </c>
      <c r="I53" s="37" t="s">
        <v>84</v>
      </c>
      <c r="J53" s="46">
        <v>0.6</v>
      </c>
      <c r="K53" s="46">
        <f t="shared" si="4"/>
        <v>30</v>
      </c>
      <c r="L53" s="30"/>
      <c r="M53" s="31">
        <v>0.3</v>
      </c>
      <c r="N53" s="31">
        <f t="shared" si="7"/>
        <v>15</v>
      </c>
    </row>
    <row r="54" spans="1:14" s="16" customFormat="1" ht="12" customHeight="1" x14ac:dyDescent="0.25">
      <c r="A54" s="36">
        <v>42</v>
      </c>
      <c r="B54" s="37" t="s">
        <v>47</v>
      </c>
      <c r="C54" s="96" t="s">
        <v>60</v>
      </c>
      <c r="D54" s="96"/>
      <c r="E54" s="96"/>
      <c r="F54" s="96"/>
      <c r="G54" s="96"/>
      <c r="H54" s="45">
        <v>2</v>
      </c>
      <c r="I54" s="37" t="s">
        <v>84</v>
      </c>
      <c r="J54" s="46">
        <v>15</v>
      </c>
      <c r="K54" s="46">
        <f t="shared" si="4"/>
        <v>30</v>
      </c>
      <c r="L54" s="30"/>
      <c r="M54" s="31">
        <v>12.35</v>
      </c>
      <c r="N54" s="31">
        <f t="shared" si="7"/>
        <v>24.7</v>
      </c>
    </row>
    <row r="55" spans="1:14" s="16" customFormat="1" ht="12" customHeight="1" x14ac:dyDescent="0.25">
      <c r="A55" s="36">
        <v>43</v>
      </c>
      <c r="B55" s="37" t="s">
        <v>47</v>
      </c>
      <c r="C55" s="96" t="s">
        <v>42</v>
      </c>
      <c r="D55" s="96"/>
      <c r="E55" s="96"/>
      <c r="F55" s="96"/>
      <c r="G55" s="96"/>
      <c r="H55" s="45">
        <v>1</v>
      </c>
      <c r="I55" s="37" t="s">
        <v>84</v>
      </c>
      <c r="J55" s="46">
        <v>27.5</v>
      </c>
      <c r="K55" s="46">
        <f t="shared" si="4"/>
        <v>27.5</v>
      </c>
      <c r="L55" s="30"/>
      <c r="M55" s="31">
        <v>22</v>
      </c>
      <c r="N55" s="31">
        <f t="shared" si="7"/>
        <v>22</v>
      </c>
    </row>
    <row r="56" spans="1:14" s="16" customFormat="1" ht="12" customHeight="1" x14ac:dyDescent="0.2">
      <c r="A56" s="36">
        <v>44</v>
      </c>
      <c r="B56" s="37" t="s">
        <v>47</v>
      </c>
      <c r="C56" s="97" t="s">
        <v>61</v>
      </c>
      <c r="D56" s="97"/>
      <c r="E56" s="97"/>
      <c r="F56" s="97"/>
      <c r="G56" s="97"/>
      <c r="H56" s="38">
        <v>2</v>
      </c>
      <c r="I56" s="39" t="s">
        <v>84</v>
      </c>
      <c r="J56" s="40">
        <v>30</v>
      </c>
      <c r="K56" s="40">
        <f t="shared" si="4"/>
        <v>60</v>
      </c>
      <c r="L56" s="32"/>
      <c r="M56" s="31">
        <v>25</v>
      </c>
      <c r="N56" s="33">
        <f t="shared" si="7"/>
        <v>50</v>
      </c>
    </row>
    <row r="57" spans="1:14" s="16" customFormat="1" ht="12" customHeight="1" x14ac:dyDescent="0.2">
      <c r="A57" s="36">
        <v>45</v>
      </c>
      <c r="B57" s="37" t="s">
        <v>47</v>
      </c>
      <c r="C57" s="97" t="s">
        <v>43</v>
      </c>
      <c r="D57" s="97"/>
      <c r="E57" s="97"/>
      <c r="F57" s="97"/>
      <c r="G57" s="97"/>
      <c r="H57" s="38">
        <v>2</v>
      </c>
      <c r="I57" s="39" t="s">
        <v>83</v>
      </c>
      <c r="J57" s="40">
        <v>32.5</v>
      </c>
      <c r="K57" s="40">
        <f t="shared" si="4"/>
        <v>65</v>
      </c>
      <c r="L57" s="32"/>
      <c r="M57" s="31">
        <v>27</v>
      </c>
      <c r="N57" s="33">
        <f t="shared" si="7"/>
        <v>54</v>
      </c>
    </row>
    <row r="58" spans="1:14" s="16" customFormat="1" ht="12" customHeight="1" x14ac:dyDescent="0.2">
      <c r="A58" s="36">
        <v>46</v>
      </c>
      <c r="B58" s="37" t="s">
        <v>47</v>
      </c>
      <c r="C58" s="97" t="s">
        <v>44</v>
      </c>
      <c r="D58" s="97"/>
      <c r="E58" s="97"/>
      <c r="F58" s="97"/>
      <c r="G58" s="97"/>
      <c r="H58" s="38">
        <v>4</v>
      </c>
      <c r="I58" s="39" t="s">
        <v>84</v>
      </c>
      <c r="J58" s="40">
        <v>4.25</v>
      </c>
      <c r="K58" s="40">
        <f t="shared" si="4"/>
        <v>17</v>
      </c>
      <c r="L58" s="32"/>
      <c r="M58" s="31">
        <v>2.5</v>
      </c>
      <c r="N58" s="33">
        <f t="shared" si="7"/>
        <v>10</v>
      </c>
    </row>
    <row r="59" spans="1:14" s="16" customFormat="1" ht="12" customHeight="1" x14ac:dyDescent="0.2">
      <c r="A59" s="36">
        <v>47</v>
      </c>
      <c r="B59" s="37" t="s">
        <v>47</v>
      </c>
      <c r="C59" s="96" t="s">
        <v>22</v>
      </c>
      <c r="D59" s="96"/>
      <c r="E59" s="96"/>
      <c r="F59" s="96"/>
      <c r="G59" s="96"/>
      <c r="H59" s="45">
        <v>3</v>
      </c>
      <c r="I59" s="39" t="s">
        <v>84</v>
      </c>
      <c r="J59" s="46">
        <v>3</v>
      </c>
      <c r="K59" s="46">
        <f t="shared" si="4"/>
        <v>9</v>
      </c>
      <c r="L59" s="30"/>
      <c r="M59" s="31">
        <v>2.2400000000000002</v>
      </c>
      <c r="N59" s="31">
        <f t="shared" si="7"/>
        <v>6.7200000000000006</v>
      </c>
    </row>
    <row r="60" spans="1:14" s="16" customFormat="1" ht="12" customHeight="1" x14ac:dyDescent="0.25">
      <c r="A60" s="36">
        <v>48</v>
      </c>
      <c r="B60" s="37" t="s">
        <v>47</v>
      </c>
      <c r="C60" s="96" t="s">
        <v>55</v>
      </c>
      <c r="D60" s="96"/>
      <c r="E60" s="96"/>
      <c r="F60" s="96"/>
      <c r="G60" s="96"/>
      <c r="H60" s="45">
        <v>50</v>
      </c>
      <c r="I60" s="37" t="s">
        <v>85</v>
      </c>
      <c r="J60" s="46">
        <v>1.7</v>
      </c>
      <c r="K60" s="46">
        <f t="shared" si="3"/>
        <v>85</v>
      </c>
      <c r="L60" s="30"/>
      <c r="M60" s="31">
        <v>1.4</v>
      </c>
      <c r="N60" s="31">
        <f t="shared" si="2"/>
        <v>70</v>
      </c>
    </row>
    <row r="61" spans="1:14" s="22" customFormat="1" ht="12" customHeight="1" x14ac:dyDescent="0.2">
      <c r="A61" s="36">
        <v>50</v>
      </c>
      <c r="B61" s="37" t="s">
        <v>47</v>
      </c>
      <c r="C61" s="97" t="s">
        <v>53</v>
      </c>
      <c r="D61" s="97"/>
      <c r="E61" s="97"/>
      <c r="F61" s="97"/>
      <c r="G61" s="97"/>
      <c r="H61" s="38">
        <v>4</v>
      </c>
      <c r="I61" s="39" t="s">
        <v>83</v>
      </c>
      <c r="J61" s="40">
        <v>7</v>
      </c>
      <c r="K61" s="40">
        <f t="shared" si="3"/>
        <v>28</v>
      </c>
      <c r="L61" s="32"/>
      <c r="M61" s="31">
        <v>5</v>
      </c>
      <c r="N61" s="33">
        <f t="shared" si="2"/>
        <v>20</v>
      </c>
    </row>
    <row r="62" spans="1:14" s="22" customFormat="1" ht="12" customHeight="1" x14ac:dyDescent="0.2">
      <c r="A62" s="36">
        <v>51</v>
      </c>
      <c r="B62" s="37" t="s">
        <v>47</v>
      </c>
      <c r="C62" s="97" t="s">
        <v>49</v>
      </c>
      <c r="D62" s="97"/>
      <c r="E62" s="97"/>
      <c r="F62" s="97"/>
      <c r="G62" s="97"/>
      <c r="H62" s="38">
        <v>1</v>
      </c>
      <c r="I62" s="39" t="s">
        <v>83</v>
      </c>
      <c r="J62" s="40">
        <v>325</v>
      </c>
      <c r="K62" s="40">
        <f t="shared" si="3"/>
        <v>325</v>
      </c>
      <c r="L62" s="32"/>
      <c r="M62" s="31">
        <v>220</v>
      </c>
      <c r="N62" s="33">
        <f t="shared" si="2"/>
        <v>220</v>
      </c>
    </row>
    <row r="63" spans="1:14" s="22" customFormat="1" ht="12" customHeight="1" x14ac:dyDescent="0.2">
      <c r="A63" s="36">
        <v>52</v>
      </c>
      <c r="B63" s="37" t="s">
        <v>47</v>
      </c>
      <c r="C63" s="97" t="s">
        <v>125</v>
      </c>
      <c r="D63" s="97"/>
      <c r="E63" s="97"/>
      <c r="F63" s="97"/>
      <c r="G63" s="97"/>
      <c r="H63" s="38">
        <v>1</v>
      </c>
      <c r="I63" s="39" t="s">
        <v>83</v>
      </c>
      <c r="J63" s="40">
        <v>2050</v>
      </c>
      <c r="K63" s="40">
        <f t="shared" si="3"/>
        <v>2050</v>
      </c>
      <c r="L63" s="32"/>
      <c r="M63" s="31">
        <v>1900</v>
      </c>
      <c r="N63" s="33">
        <f t="shared" si="2"/>
        <v>1900</v>
      </c>
    </row>
    <row r="64" spans="1:14" ht="15.75" thickBot="1" x14ac:dyDescent="0.3">
      <c r="B64" s="126"/>
      <c r="C64" s="126"/>
      <c r="D64" s="126"/>
      <c r="E64" s="126"/>
      <c r="F64" s="126"/>
      <c r="G64" s="126"/>
      <c r="H64" s="126"/>
      <c r="I64" s="124"/>
      <c r="J64" s="124"/>
      <c r="K64" s="52"/>
      <c r="N64" s="13">
        <f>SUM(N13:N63)</f>
        <v>64756.359999999993</v>
      </c>
    </row>
    <row r="65" spans="1:13" ht="15.75" customHeight="1" thickTop="1" x14ac:dyDescent="0.25">
      <c r="B65" s="105" t="s">
        <v>104</v>
      </c>
      <c r="C65" s="105"/>
      <c r="D65" s="105"/>
      <c r="E65" s="105"/>
      <c r="F65" s="105"/>
      <c r="G65" s="105"/>
      <c r="H65" s="105"/>
      <c r="I65" s="125" t="s">
        <v>75</v>
      </c>
      <c r="J65" s="125"/>
      <c r="K65" s="53">
        <f>SUM(K13:K64)</f>
        <v>70560.671999999991</v>
      </c>
    </row>
    <row r="66" spans="1:13" ht="15.75" customHeight="1" x14ac:dyDescent="0.25">
      <c r="A66" s="22" t="s">
        <v>26</v>
      </c>
      <c r="B66" s="106" t="s">
        <v>32</v>
      </c>
      <c r="C66" s="106"/>
      <c r="D66" s="106"/>
      <c r="E66" s="106"/>
      <c r="F66" s="106"/>
      <c r="G66" s="106"/>
      <c r="H66" s="106"/>
      <c r="I66" s="127" t="s">
        <v>74</v>
      </c>
      <c r="J66" s="127"/>
      <c r="K66" s="53">
        <v>0</v>
      </c>
      <c r="L66" s="25"/>
      <c r="M66" s="13">
        <f>K67-N64</f>
        <v>5804.3119999999981</v>
      </c>
    </row>
    <row r="67" spans="1:13" ht="15.75" customHeight="1" x14ac:dyDescent="0.25">
      <c r="A67" s="22" t="s">
        <v>27</v>
      </c>
      <c r="B67" s="106" t="s">
        <v>33</v>
      </c>
      <c r="C67" s="106"/>
      <c r="D67" s="106"/>
      <c r="E67" s="106"/>
      <c r="F67" s="106"/>
      <c r="G67" s="106"/>
      <c r="H67" s="106"/>
      <c r="I67" s="109" t="s">
        <v>71</v>
      </c>
      <c r="J67" s="109"/>
      <c r="K67" s="53">
        <f>K65-K66</f>
        <v>70560.671999999991</v>
      </c>
    </row>
    <row r="68" spans="1:13" ht="15.75" customHeight="1" x14ac:dyDescent="0.25">
      <c r="A68" s="22" t="s">
        <v>28</v>
      </c>
      <c r="B68" s="106" t="s">
        <v>34</v>
      </c>
      <c r="C68" s="107"/>
      <c r="D68" s="107"/>
      <c r="E68" s="107"/>
      <c r="F68" s="107"/>
      <c r="G68" s="107"/>
      <c r="H68" s="107"/>
      <c r="I68" s="109" t="s">
        <v>73</v>
      </c>
      <c r="J68" s="109"/>
      <c r="K68" s="53">
        <f>K67*18%</f>
        <v>12700.920959999998</v>
      </c>
    </row>
    <row r="69" spans="1:13" ht="15.75" customHeight="1" thickBot="1" x14ac:dyDescent="0.3">
      <c r="A69" s="22" t="s">
        <v>29</v>
      </c>
      <c r="B69" s="106" t="s">
        <v>70</v>
      </c>
      <c r="C69" s="107"/>
      <c r="D69" s="107"/>
      <c r="E69" s="107"/>
      <c r="F69" s="107"/>
      <c r="G69" s="107"/>
      <c r="H69" s="107"/>
      <c r="I69" s="110" t="s">
        <v>72</v>
      </c>
      <c r="J69" s="110"/>
      <c r="K69" s="54">
        <f>K67+K68</f>
        <v>83261.592959999994</v>
      </c>
    </row>
    <row r="70" spans="1:13" ht="15" customHeight="1" thickTop="1" x14ac:dyDescent="0.25">
      <c r="A70" s="22" t="s">
        <v>30</v>
      </c>
      <c r="B70" s="106" t="s">
        <v>36</v>
      </c>
      <c r="C70" s="107"/>
      <c r="D70" s="107"/>
      <c r="E70" s="107"/>
      <c r="F70" s="107"/>
      <c r="G70" s="107"/>
      <c r="H70" s="107"/>
      <c r="I70" s="34"/>
      <c r="J70" s="34"/>
      <c r="K70" s="35"/>
    </row>
    <row r="71" spans="1:13" ht="15" customHeight="1" x14ac:dyDescent="0.25">
      <c r="A71" s="57" t="s">
        <v>31</v>
      </c>
      <c r="B71" s="106" t="s">
        <v>35</v>
      </c>
      <c r="C71" s="107"/>
      <c r="D71" s="107"/>
      <c r="E71" s="107"/>
      <c r="F71" s="107"/>
      <c r="G71" s="107"/>
      <c r="H71" s="107"/>
      <c r="I71" s="108"/>
      <c r="J71" s="58"/>
      <c r="K71" s="35"/>
    </row>
    <row r="72" spans="1:13" ht="10.5" customHeight="1" thickBot="1" x14ac:dyDescent="0.3">
      <c r="A72" s="22"/>
      <c r="B72" s="106"/>
      <c r="C72" s="107"/>
      <c r="D72" s="107"/>
      <c r="E72" s="107"/>
      <c r="F72" s="107"/>
      <c r="G72" s="107"/>
      <c r="H72" s="107"/>
      <c r="I72" s="34"/>
      <c r="J72" s="83"/>
      <c r="K72" s="82"/>
    </row>
    <row r="73" spans="1:13" ht="15.75" customHeight="1" thickTop="1" x14ac:dyDescent="0.25">
      <c r="A73" s="22"/>
      <c r="B73" s="73" t="s">
        <v>92</v>
      </c>
      <c r="C73" s="73"/>
      <c r="D73" s="73"/>
      <c r="E73" s="73" t="s">
        <v>91</v>
      </c>
      <c r="F73" s="73"/>
      <c r="G73" s="73"/>
      <c r="H73" s="62"/>
      <c r="I73" s="62"/>
      <c r="J73" s="81" t="s">
        <v>121</v>
      </c>
      <c r="K73" s="55">
        <f>K67-K67*0.05</f>
        <v>67032.638399999996</v>
      </c>
    </row>
    <row r="74" spans="1:13" ht="15.75" customHeight="1" x14ac:dyDescent="0.25">
      <c r="A74" s="22"/>
      <c r="B74" s="73" t="s">
        <v>93</v>
      </c>
      <c r="C74" s="73"/>
      <c r="D74" s="73"/>
      <c r="E74" s="73" t="s">
        <v>95</v>
      </c>
      <c r="F74" s="73"/>
      <c r="G74" s="73"/>
      <c r="H74" s="62"/>
      <c r="I74" s="62"/>
      <c r="J74" s="56" t="s">
        <v>109</v>
      </c>
      <c r="K74" s="55">
        <f>K73*0.18</f>
        <v>12065.874911999999</v>
      </c>
    </row>
    <row r="75" spans="1:13" ht="15.75" customHeight="1" thickBot="1" x14ac:dyDescent="0.3">
      <c r="A75" s="57"/>
      <c r="B75" s="74" t="s">
        <v>94</v>
      </c>
      <c r="C75" s="74"/>
      <c r="D75" s="74"/>
      <c r="E75" s="74" t="s">
        <v>96</v>
      </c>
      <c r="F75" s="74"/>
      <c r="G75" s="74"/>
      <c r="H75" s="64"/>
      <c r="I75" s="64"/>
      <c r="J75" s="84" t="s">
        <v>120</v>
      </c>
      <c r="K75" s="82">
        <f>SUM(K73:K74)</f>
        <v>79098.513311999995</v>
      </c>
    </row>
    <row r="76" spans="1:13" ht="9.75" customHeight="1" thickTop="1" x14ac:dyDescent="0.25">
      <c r="A76" s="26"/>
      <c r="B76" s="63"/>
      <c r="C76" s="63"/>
      <c r="D76" s="63"/>
      <c r="E76" s="63"/>
      <c r="F76" s="63"/>
      <c r="G76" s="63"/>
      <c r="H76" s="63"/>
      <c r="I76" s="63"/>
      <c r="J76" s="69"/>
      <c r="K76" s="70"/>
    </row>
    <row r="77" spans="1:13" ht="12.95" customHeight="1" x14ac:dyDescent="0.25">
      <c r="A77" s="120" t="s">
        <v>88</v>
      </c>
      <c r="B77" s="121"/>
      <c r="C77" s="121"/>
      <c r="D77" s="60"/>
      <c r="E77" s="60"/>
      <c r="F77" s="60"/>
      <c r="G77" s="114" t="s">
        <v>87</v>
      </c>
      <c r="H77" s="115"/>
      <c r="I77" s="60"/>
      <c r="J77" s="60"/>
      <c r="K77" s="61"/>
    </row>
    <row r="78" spans="1:13" ht="12.95" customHeight="1" x14ac:dyDescent="0.25">
      <c r="A78" s="122" t="s">
        <v>52</v>
      </c>
      <c r="B78" s="123"/>
      <c r="C78" s="123"/>
      <c r="D78" s="123"/>
      <c r="E78" s="123"/>
      <c r="F78" s="60"/>
      <c r="G78" s="116"/>
      <c r="H78" s="117"/>
      <c r="I78" s="60"/>
      <c r="J78" s="60"/>
      <c r="K78" s="61"/>
    </row>
    <row r="79" spans="1:13" ht="12.95" customHeight="1" x14ac:dyDescent="0.25">
      <c r="A79" s="66"/>
      <c r="B79" s="67"/>
      <c r="C79" s="67"/>
      <c r="D79" s="67"/>
      <c r="E79" s="67"/>
      <c r="F79" s="64"/>
      <c r="G79" s="64"/>
      <c r="H79" s="65"/>
      <c r="I79" s="64"/>
      <c r="J79" s="64"/>
      <c r="K79" s="61"/>
    </row>
    <row r="80" spans="1:13" ht="12.95" customHeight="1" x14ac:dyDescent="0.25">
      <c r="A80" s="66"/>
      <c r="B80" s="67"/>
      <c r="C80" s="67"/>
      <c r="D80" s="67"/>
      <c r="E80" s="67"/>
      <c r="F80" s="64"/>
      <c r="G80" s="64"/>
      <c r="H80" s="65"/>
      <c r="I80" s="64"/>
      <c r="J80" s="64"/>
      <c r="K80" s="61"/>
    </row>
    <row r="81" spans="1:11" ht="12.95" customHeight="1" x14ac:dyDescent="0.25">
      <c r="A81" s="22"/>
      <c r="B81" s="59"/>
      <c r="C81" s="59"/>
      <c r="D81" s="59"/>
      <c r="E81" s="59"/>
      <c r="F81" s="59"/>
      <c r="G81" s="116"/>
      <c r="H81" s="117"/>
      <c r="I81" s="59"/>
      <c r="J81" s="59"/>
      <c r="K81" s="59"/>
    </row>
    <row r="82" spans="1:11" ht="12.95" customHeight="1" x14ac:dyDescent="0.25">
      <c r="A82" s="26"/>
      <c r="B82" s="63"/>
      <c r="C82" s="63"/>
      <c r="D82" s="63"/>
      <c r="E82" s="63"/>
      <c r="F82" s="63"/>
      <c r="G82" s="118"/>
      <c r="H82" s="119"/>
      <c r="I82" s="63"/>
      <c r="J82" s="63"/>
      <c r="K82" s="63"/>
    </row>
    <row r="83" spans="1:11" ht="15.75" customHeight="1" x14ac:dyDescent="0.25">
      <c r="A83" s="113" t="s">
        <v>89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</row>
    <row r="84" spans="1:11" ht="15.75" customHeight="1" x14ac:dyDescent="0.25">
      <c r="A84" s="72" t="s">
        <v>97</v>
      </c>
      <c r="B84" s="72" t="s">
        <v>98</v>
      </c>
      <c r="C84" s="72"/>
      <c r="D84" s="75" t="s">
        <v>100</v>
      </c>
      <c r="E84" s="76" t="s">
        <v>101</v>
      </c>
      <c r="F84" s="72"/>
      <c r="G84" s="72"/>
      <c r="H84" s="116"/>
      <c r="I84" s="108"/>
      <c r="J84" s="108"/>
      <c r="K84" s="108"/>
    </row>
    <row r="85" spans="1:11" ht="15.75" customHeight="1" x14ac:dyDescent="0.25">
      <c r="A85" s="72" t="s">
        <v>90</v>
      </c>
      <c r="B85" s="72" t="s">
        <v>99</v>
      </c>
      <c r="C85" s="72"/>
      <c r="D85" s="75" t="s">
        <v>102</v>
      </c>
      <c r="E85" s="76" t="s">
        <v>103</v>
      </c>
      <c r="F85" s="72"/>
      <c r="G85" s="72"/>
      <c r="H85" s="64"/>
      <c r="I85" s="64"/>
      <c r="J85" s="64"/>
      <c r="K85" s="64"/>
    </row>
    <row r="86" spans="1:11" ht="12.95" customHeight="1" x14ac:dyDescent="0.25">
      <c r="A86" s="111"/>
      <c r="B86" s="111"/>
      <c r="C86" s="111"/>
      <c r="D86" s="111"/>
      <c r="E86" s="111"/>
      <c r="F86" s="27"/>
      <c r="G86" s="112"/>
      <c r="H86" s="112"/>
      <c r="I86" s="112"/>
      <c r="J86" s="112"/>
      <c r="K86" s="112"/>
    </row>
    <row r="87" spans="1:11" x14ac:dyDescent="0.25">
      <c r="J87" s="24"/>
      <c r="K87" s="24"/>
    </row>
    <row r="88" spans="1:11" x14ac:dyDescent="0.25">
      <c r="J88" s="24"/>
      <c r="K88" s="24"/>
    </row>
    <row r="89" spans="1:11" x14ac:dyDescent="0.25">
      <c r="J89" s="24"/>
      <c r="K89" s="24"/>
    </row>
    <row r="90" spans="1:11" x14ac:dyDescent="0.25">
      <c r="J90" s="24"/>
      <c r="K90" s="24"/>
    </row>
    <row r="91" spans="1:11" x14ac:dyDescent="0.25">
      <c r="J91" s="24"/>
      <c r="K91" s="24"/>
    </row>
    <row r="92" spans="1:11" x14ac:dyDescent="0.25">
      <c r="J92" s="24"/>
      <c r="K92" s="24"/>
    </row>
    <row r="93" spans="1:11" x14ac:dyDescent="0.25">
      <c r="J93" s="24"/>
      <c r="K93" s="24"/>
    </row>
    <row r="94" spans="1:11" x14ac:dyDescent="0.25">
      <c r="J94" s="24"/>
      <c r="K94" s="24"/>
    </row>
    <row r="95" spans="1:11" x14ac:dyDescent="0.25">
      <c r="J95" s="24"/>
      <c r="K95" s="24"/>
    </row>
    <row r="96" spans="1:11" x14ac:dyDescent="0.25">
      <c r="J96" s="24"/>
      <c r="K96" s="24"/>
    </row>
    <row r="97" spans="10:11" x14ac:dyDescent="0.25">
      <c r="J97" s="24"/>
      <c r="K97" s="24"/>
    </row>
    <row r="98" spans="10:11" x14ac:dyDescent="0.25">
      <c r="J98" s="24"/>
      <c r="K98" s="24"/>
    </row>
    <row r="99" spans="10:11" x14ac:dyDescent="0.25">
      <c r="J99" s="24"/>
      <c r="K99" s="24"/>
    </row>
    <row r="100" spans="10:11" x14ac:dyDescent="0.25">
      <c r="J100" s="24"/>
      <c r="K100" s="24"/>
    </row>
    <row r="101" spans="10:11" x14ac:dyDescent="0.25">
      <c r="J101" s="24"/>
      <c r="K101" s="24"/>
    </row>
    <row r="102" spans="10:11" x14ac:dyDescent="0.25">
      <c r="J102" s="24"/>
      <c r="K102" s="24"/>
    </row>
    <row r="103" spans="10:11" x14ac:dyDescent="0.25">
      <c r="J103" s="24"/>
      <c r="K103" s="24"/>
    </row>
    <row r="104" spans="10:11" x14ac:dyDescent="0.25">
      <c r="J104" s="24"/>
      <c r="K104" s="24"/>
    </row>
    <row r="105" spans="10:11" x14ac:dyDescent="0.25">
      <c r="J105" s="24"/>
      <c r="K105" s="24"/>
    </row>
    <row r="106" spans="10:11" x14ac:dyDescent="0.25">
      <c r="J106" s="24"/>
      <c r="K106" s="24"/>
    </row>
    <row r="107" spans="10:11" x14ac:dyDescent="0.25">
      <c r="J107" s="24"/>
      <c r="K107" s="24"/>
    </row>
    <row r="108" spans="10:11" x14ac:dyDescent="0.25">
      <c r="J108" s="24"/>
      <c r="K108" s="24"/>
    </row>
    <row r="109" spans="10:11" x14ac:dyDescent="0.25">
      <c r="J109" s="24"/>
      <c r="K109" s="24"/>
    </row>
    <row r="110" spans="10:11" x14ac:dyDescent="0.25">
      <c r="J110" s="24"/>
      <c r="K110" s="24"/>
    </row>
    <row r="111" spans="10:11" x14ac:dyDescent="0.25">
      <c r="J111" s="24"/>
      <c r="K111" s="24"/>
    </row>
    <row r="112" spans="10:11" x14ac:dyDescent="0.25">
      <c r="J112" s="24"/>
      <c r="K112" s="24"/>
    </row>
    <row r="113" spans="10:11" x14ac:dyDescent="0.25">
      <c r="J113" s="24"/>
      <c r="K113" s="24"/>
    </row>
    <row r="114" spans="10:11" x14ac:dyDescent="0.25">
      <c r="J114" s="24"/>
      <c r="K114" s="24"/>
    </row>
    <row r="115" spans="10:11" x14ac:dyDescent="0.25">
      <c r="J115" s="24"/>
      <c r="K115" s="24"/>
    </row>
    <row r="116" spans="10:11" x14ac:dyDescent="0.25">
      <c r="J116" s="24"/>
      <c r="K116" s="24"/>
    </row>
    <row r="117" spans="10:11" x14ac:dyDescent="0.25">
      <c r="J117" s="24"/>
      <c r="K117" s="24"/>
    </row>
    <row r="118" spans="10:11" x14ac:dyDescent="0.25">
      <c r="J118" s="24"/>
      <c r="K118" s="24"/>
    </row>
    <row r="119" spans="10:11" x14ac:dyDescent="0.25">
      <c r="J119" s="24"/>
      <c r="K119" s="24"/>
    </row>
    <row r="120" spans="10:11" x14ac:dyDescent="0.25">
      <c r="J120" s="24"/>
      <c r="K120" s="24"/>
    </row>
    <row r="121" spans="10:11" x14ac:dyDescent="0.25">
      <c r="J121" s="24"/>
      <c r="K121" s="24"/>
    </row>
    <row r="122" spans="10:11" x14ac:dyDescent="0.25">
      <c r="J122" s="24"/>
      <c r="K122" s="24"/>
    </row>
    <row r="123" spans="10:11" x14ac:dyDescent="0.25">
      <c r="J123" s="24"/>
      <c r="K123" s="24"/>
    </row>
    <row r="124" spans="10:11" x14ac:dyDescent="0.25">
      <c r="J124" s="24"/>
      <c r="K124" s="24"/>
    </row>
    <row r="125" spans="10:11" x14ac:dyDescent="0.25">
      <c r="J125" s="24"/>
      <c r="K125" s="24"/>
    </row>
    <row r="126" spans="10:11" x14ac:dyDescent="0.25">
      <c r="J126" s="24"/>
      <c r="K126" s="24"/>
    </row>
    <row r="127" spans="10:11" x14ac:dyDescent="0.25">
      <c r="J127" s="24"/>
      <c r="K127" s="24"/>
    </row>
    <row r="128" spans="10:11" x14ac:dyDescent="0.25">
      <c r="J128" s="24"/>
      <c r="K128" s="24"/>
    </row>
    <row r="129" spans="10:11" x14ac:dyDescent="0.25">
      <c r="J129" s="24"/>
      <c r="K129" s="24"/>
    </row>
    <row r="130" spans="10:11" x14ac:dyDescent="0.25">
      <c r="J130" s="24"/>
      <c r="K130" s="24"/>
    </row>
    <row r="131" spans="10:11" x14ac:dyDescent="0.25">
      <c r="J131" s="24"/>
      <c r="K131" s="24"/>
    </row>
    <row r="132" spans="10:11" x14ac:dyDescent="0.25">
      <c r="J132" s="24"/>
      <c r="K132" s="24"/>
    </row>
    <row r="133" spans="10:11" x14ac:dyDescent="0.25">
      <c r="J133" s="24"/>
      <c r="K133" s="24"/>
    </row>
    <row r="134" spans="10:11" x14ac:dyDescent="0.25">
      <c r="J134" s="24"/>
      <c r="K134" s="24"/>
    </row>
    <row r="135" spans="10:11" x14ac:dyDescent="0.25">
      <c r="J135" s="24"/>
      <c r="K135" s="24"/>
    </row>
    <row r="136" spans="10:11" x14ac:dyDescent="0.25">
      <c r="J136" s="24"/>
      <c r="K136" s="24"/>
    </row>
    <row r="137" spans="10:11" x14ac:dyDescent="0.25">
      <c r="J137" s="24"/>
      <c r="K137" s="24"/>
    </row>
    <row r="138" spans="10:11" x14ac:dyDescent="0.25">
      <c r="J138" s="24"/>
      <c r="K138" s="24"/>
    </row>
    <row r="139" spans="10:11" x14ac:dyDescent="0.25">
      <c r="J139" s="24"/>
      <c r="K139" s="24"/>
    </row>
    <row r="140" spans="10:11" x14ac:dyDescent="0.25">
      <c r="J140" s="24"/>
      <c r="K140" s="24"/>
    </row>
    <row r="141" spans="10:11" x14ac:dyDescent="0.25">
      <c r="J141" s="24"/>
      <c r="K141" s="24"/>
    </row>
    <row r="142" spans="10:11" x14ac:dyDescent="0.25">
      <c r="J142" s="24"/>
      <c r="K142" s="24"/>
    </row>
    <row r="143" spans="10:11" x14ac:dyDescent="0.25">
      <c r="J143" s="24"/>
      <c r="K143" s="24"/>
    </row>
    <row r="144" spans="10:11" x14ac:dyDescent="0.25">
      <c r="J144" s="24"/>
      <c r="K144" s="24"/>
    </row>
    <row r="145" spans="10:11" x14ac:dyDescent="0.25">
      <c r="J145" s="24"/>
      <c r="K145" s="24"/>
    </row>
    <row r="146" spans="10:11" x14ac:dyDescent="0.25">
      <c r="J146" s="24"/>
      <c r="K146" s="24"/>
    </row>
    <row r="147" spans="10:11" x14ac:dyDescent="0.25">
      <c r="J147" s="24"/>
      <c r="K147" s="24"/>
    </row>
    <row r="148" spans="10:11" x14ac:dyDescent="0.25">
      <c r="J148" s="24"/>
      <c r="K148" s="24"/>
    </row>
  </sheetData>
  <sheetProtection formatCells="0" formatColumns="0" formatRows="0" insertColumns="0" insertRows="0" insertHyperlinks="0" deleteColumns="0" deleteRows="0" selectLockedCells="1" sort="0" autoFilter="0" pivotTables="0"/>
  <mergeCells count="96">
    <mergeCell ref="C63:G63"/>
    <mergeCell ref="A86:E86"/>
    <mergeCell ref="G86:K86"/>
    <mergeCell ref="A83:K83"/>
    <mergeCell ref="G77:H77"/>
    <mergeCell ref="G78:H78"/>
    <mergeCell ref="G81:H81"/>
    <mergeCell ref="G82:H82"/>
    <mergeCell ref="A77:C77"/>
    <mergeCell ref="A78:E78"/>
    <mergeCell ref="H84:K84"/>
    <mergeCell ref="I64:J64"/>
    <mergeCell ref="I65:J65"/>
    <mergeCell ref="I67:J67"/>
    <mergeCell ref="B64:H64"/>
    <mergeCell ref="I66:J66"/>
    <mergeCell ref="B65:H65"/>
    <mergeCell ref="B72:H72"/>
    <mergeCell ref="B66:H66"/>
    <mergeCell ref="B67:H67"/>
    <mergeCell ref="B68:H68"/>
    <mergeCell ref="B69:H69"/>
    <mergeCell ref="B71:I71"/>
    <mergeCell ref="I68:J68"/>
    <mergeCell ref="I69:J69"/>
    <mergeCell ref="B70:H70"/>
    <mergeCell ref="C61:G61"/>
    <mergeCell ref="C62:G62"/>
    <mergeCell ref="C33:G33"/>
    <mergeCell ref="C48:G48"/>
    <mergeCell ref="C60:G60"/>
    <mergeCell ref="C55:G55"/>
    <mergeCell ref="C46:G46"/>
    <mergeCell ref="C47:G47"/>
    <mergeCell ref="C50:G50"/>
    <mergeCell ref="C37:G37"/>
    <mergeCell ref="C52:G52"/>
    <mergeCell ref="C45:G45"/>
    <mergeCell ref="C39:G39"/>
    <mergeCell ref="C41:G41"/>
    <mergeCell ref="C42:G42"/>
    <mergeCell ref="C53:G53"/>
    <mergeCell ref="C51:G51"/>
    <mergeCell ref="C38:G38"/>
    <mergeCell ref="C34:G34"/>
    <mergeCell ref="C35:G35"/>
    <mergeCell ref="C49:G49"/>
    <mergeCell ref="C44:G44"/>
    <mergeCell ref="C40:G40"/>
    <mergeCell ref="C43:G43"/>
    <mergeCell ref="C36:G36"/>
    <mergeCell ref="C32:G32"/>
    <mergeCell ref="C31:G31"/>
    <mergeCell ref="C22:G22"/>
    <mergeCell ref="C59:G59"/>
    <mergeCell ref="C54:G54"/>
    <mergeCell ref="C57:G57"/>
    <mergeCell ref="C58:G58"/>
    <mergeCell ref="C56:G56"/>
    <mergeCell ref="C30:G30"/>
    <mergeCell ref="C24:G24"/>
    <mergeCell ref="C26:G26"/>
    <mergeCell ref="C27:G27"/>
    <mergeCell ref="C28:G28"/>
    <mergeCell ref="C29:G29"/>
    <mergeCell ref="C23:G23"/>
    <mergeCell ref="C25:G25"/>
    <mergeCell ref="I10:J10"/>
    <mergeCell ref="A5:K5"/>
    <mergeCell ref="A7:B7"/>
    <mergeCell ref="A8:B8"/>
    <mergeCell ref="A9:B9"/>
    <mergeCell ref="A10:B10"/>
    <mergeCell ref="C10:E10"/>
    <mergeCell ref="I9:J9"/>
    <mergeCell ref="I6:J6"/>
    <mergeCell ref="I7:J7"/>
    <mergeCell ref="G6:H6"/>
    <mergeCell ref="I8:J8"/>
    <mergeCell ref="C6:E6"/>
    <mergeCell ref="C7:E7"/>
    <mergeCell ref="C9:E9"/>
    <mergeCell ref="F1:H4"/>
    <mergeCell ref="A6:B6"/>
    <mergeCell ref="C14:G14"/>
    <mergeCell ref="C21:G21"/>
    <mergeCell ref="C15:G15"/>
    <mergeCell ref="C8:E8"/>
    <mergeCell ref="C11:G11"/>
    <mergeCell ref="C13:G13"/>
    <mergeCell ref="C16:G16"/>
    <mergeCell ref="C17:G17"/>
    <mergeCell ref="C19:G19"/>
    <mergeCell ref="C20:G20"/>
    <mergeCell ref="C18:G18"/>
    <mergeCell ref="B3:D3"/>
  </mergeCells>
  <hyperlinks>
    <hyperlink ref="E84" r:id="rId1" xr:uid="{00000000-0004-0000-0100-000000000000}"/>
    <hyperlink ref="E85" r:id="rId2" xr:uid="{00000000-0004-0000-0100-000001000000}"/>
  </hyperlinks>
  <pageMargins left="0.78740157480314965" right="0.19685039370078741" top="0.39370078740157483" bottom="0" header="0.31496062992125984" footer="0.31496062992125984"/>
  <pageSetup paperSize="9" scale="7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ÖZELLİKLER</vt:lpstr>
      <vt:lpstr>VADELİ</vt:lpstr>
      <vt:lpstr>VADELİ!Yazdırma_Alanı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huseyin</cp:lastModifiedBy>
  <cp:lastPrinted>2020-10-10T10:53:50Z</cp:lastPrinted>
  <dcterms:created xsi:type="dcterms:W3CDTF">2015-03-31T12:11:23Z</dcterms:created>
  <dcterms:modified xsi:type="dcterms:W3CDTF">2022-02-08T12:24:58Z</dcterms:modified>
</cp:coreProperties>
</file>